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00DFC09F-C9C7-4175-B929-0A18EF042E4F}" xr6:coauthVersionLast="45" xr6:coauthVersionMax="45" xr10:uidLastSave="{00000000-0000-0000-0000-000000000000}"/>
  <bookViews>
    <workbookView xWindow="-25320" yWindow="390" windowWidth="25440" windowHeight="15390" xr2:uid="{00000000-000D-0000-FFFF-FFFF00000000}"/>
  </bookViews>
  <sheets>
    <sheet name="coiirm septiembre 2019" sheetId="1" r:id="rId1"/>
  </sheets>
  <definedNames>
    <definedName name="_xlnm.Print_Area" localSheetId="0">'coiirm septiembre 2019'!$B$1:$P$121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M28" i="1"/>
  <c r="L28" i="1"/>
  <c r="K28" i="1"/>
  <c r="J28" i="1"/>
  <c r="G28" i="1"/>
  <c r="W92" i="1" l="1"/>
  <c r="U74" i="1"/>
  <c r="U67" i="1"/>
  <c r="U66" i="1"/>
  <c r="U65" i="1"/>
  <c r="U60" i="1"/>
  <c r="U54" i="1"/>
  <c r="U52" i="1"/>
  <c r="W27" i="1"/>
  <c r="U46" i="1"/>
  <c r="U44" i="1"/>
  <c r="U43" i="1"/>
  <c r="U42" i="1"/>
  <c r="U32" i="1"/>
  <c r="U30" i="1"/>
  <c r="U29" i="1"/>
  <c r="U26" i="1"/>
  <c r="U28" i="1"/>
  <c r="U25" i="1"/>
  <c r="U24" i="1"/>
  <c r="U18" i="1"/>
  <c r="U17" i="1"/>
  <c r="U15" i="1"/>
  <c r="W8" i="1"/>
  <c r="W7" i="1"/>
  <c r="U13" i="1"/>
  <c r="U12" i="1"/>
  <c r="U9" i="1"/>
  <c r="U8" i="1" s="1"/>
  <c r="U7" i="1"/>
  <c r="P107" i="1"/>
  <c r="P103" i="1"/>
  <c r="N61" i="1"/>
  <c r="N86" i="1"/>
  <c r="I26" i="1" l="1"/>
  <c r="M74" i="1"/>
  <c r="O84" i="1"/>
  <c r="V84" i="1" s="1"/>
  <c r="N81" i="1"/>
  <c r="O77" i="1"/>
  <c r="V77" i="1" s="1"/>
  <c r="L74" i="1"/>
  <c r="N73" i="1"/>
  <c r="N74" i="1"/>
  <c r="N52" i="1"/>
  <c r="N30" i="1"/>
  <c r="L30" i="1"/>
  <c r="K30" i="1"/>
  <c r="I30" i="1"/>
  <c r="N28" i="1"/>
  <c r="N44" i="1"/>
  <c r="N33" i="1"/>
  <c r="J30" i="1"/>
  <c r="N26" i="1"/>
  <c r="I25" i="1"/>
  <c r="K25" i="1"/>
  <c r="N24" i="1"/>
  <c r="N15" i="1"/>
  <c r="N17" i="1"/>
  <c r="N13" i="1"/>
  <c r="L13" i="1"/>
  <c r="N7" i="1"/>
  <c r="Q77" i="1" l="1"/>
  <c r="R77" i="1"/>
  <c r="N107" i="1"/>
  <c r="N103" i="1"/>
  <c r="O87" i="1"/>
  <c r="V87" i="1" s="1"/>
  <c r="O89" i="1"/>
  <c r="V89" i="1" s="1"/>
  <c r="O90" i="1"/>
  <c r="V90" i="1" s="1"/>
  <c r="O86" i="1"/>
  <c r="V86" i="1" s="1"/>
  <c r="O85" i="1"/>
  <c r="V85" i="1" s="1"/>
  <c r="O79" i="1"/>
  <c r="V79" i="1" s="1"/>
  <c r="O80" i="1"/>
  <c r="V80" i="1" s="1"/>
  <c r="O82" i="1"/>
  <c r="V82" i="1" s="1"/>
  <c r="O83" i="1"/>
  <c r="V83" i="1" s="1"/>
  <c r="N78" i="1"/>
  <c r="N92" i="1" s="1"/>
  <c r="O75" i="1"/>
  <c r="O76" i="1"/>
  <c r="O55" i="1"/>
  <c r="O56" i="1"/>
  <c r="V56" i="1" s="1"/>
  <c r="O57" i="1"/>
  <c r="V57" i="1" s="1"/>
  <c r="O58" i="1"/>
  <c r="V58" i="1" s="1"/>
  <c r="O59" i="1"/>
  <c r="V59" i="1" s="1"/>
  <c r="O60" i="1"/>
  <c r="V60" i="1" s="1"/>
  <c r="O61" i="1"/>
  <c r="V61" i="1" s="1"/>
  <c r="O62" i="1"/>
  <c r="O63" i="1"/>
  <c r="V63" i="1" s="1"/>
  <c r="O64" i="1"/>
  <c r="V64" i="1" s="1"/>
  <c r="O65" i="1"/>
  <c r="V65" i="1" s="1"/>
  <c r="O66" i="1"/>
  <c r="V66" i="1" s="1"/>
  <c r="O67" i="1"/>
  <c r="V67" i="1" s="1"/>
  <c r="O53" i="1"/>
  <c r="V53" i="1" s="1"/>
  <c r="O54" i="1"/>
  <c r="V54" i="1" s="1"/>
  <c r="O51" i="1"/>
  <c r="V51" i="1" s="1"/>
  <c r="O34" i="1"/>
  <c r="V34" i="1" s="1"/>
  <c r="O35" i="1"/>
  <c r="V35" i="1" s="1"/>
  <c r="O36" i="1"/>
  <c r="V36" i="1" s="1"/>
  <c r="O37" i="1"/>
  <c r="V37" i="1" s="1"/>
  <c r="O38" i="1"/>
  <c r="O39" i="1"/>
  <c r="V39" i="1" s="1"/>
  <c r="O40" i="1"/>
  <c r="V40" i="1" s="1"/>
  <c r="O41" i="1"/>
  <c r="V41" i="1" s="1"/>
  <c r="O43" i="1"/>
  <c r="V43" i="1" s="1"/>
  <c r="O44" i="1"/>
  <c r="V44" i="1" s="1"/>
  <c r="O45" i="1"/>
  <c r="V45" i="1" s="1"/>
  <c r="O46" i="1"/>
  <c r="V46" i="1" s="1"/>
  <c r="O47" i="1"/>
  <c r="O48" i="1"/>
  <c r="V48" i="1" s="1"/>
  <c r="O49" i="1"/>
  <c r="V49" i="1" s="1"/>
  <c r="O31" i="1"/>
  <c r="V31" i="1" s="1"/>
  <c r="O29" i="1"/>
  <c r="V29" i="1" s="1"/>
  <c r="N27" i="1"/>
  <c r="O25" i="1"/>
  <c r="V25" i="1" s="1"/>
  <c r="O23" i="1"/>
  <c r="V23" i="1" s="1"/>
  <c r="O22" i="1"/>
  <c r="V22" i="1" s="1"/>
  <c r="O21" i="1"/>
  <c r="V21" i="1" s="1"/>
  <c r="N20" i="1"/>
  <c r="O18" i="1"/>
  <c r="V18" i="1" s="1"/>
  <c r="O19" i="1"/>
  <c r="V19" i="1" s="1"/>
  <c r="O16" i="1"/>
  <c r="V16" i="1" s="1"/>
  <c r="N14" i="1"/>
  <c r="N8" i="1"/>
  <c r="O11" i="1"/>
  <c r="V11" i="1" s="1"/>
  <c r="O12" i="1"/>
  <c r="V12" i="1" s="1"/>
  <c r="O13" i="1"/>
  <c r="V13" i="1" s="1"/>
  <c r="O10" i="1"/>
  <c r="V10" i="1" s="1"/>
  <c r="O9" i="1"/>
  <c r="V9" i="1" s="1"/>
  <c r="O7" i="1"/>
  <c r="V7" i="1" s="1"/>
  <c r="L107" i="1"/>
  <c r="M107" i="1"/>
  <c r="L103" i="1"/>
  <c r="M103" i="1"/>
  <c r="L78" i="1"/>
  <c r="L92" i="1" s="1"/>
  <c r="M78" i="1"/>
  <c r="M92" i="1" s="1"/>
  <c r="H73" i="1"/>
  <c r="M27" i="1"/>
  <c r="K27" i="1"/>
  <c r="L27" i="1"/>
  <c r="L26" i="1"/>
  <c r="L24" i="1"/>
  <c r="L20" i="1"/>
  <c r="M20" i="1"/>
  <c r="L17" i="1"/>
  <c r="L14" i="1" s="1"/>
  <c r="M14" i="1"/>
  <c r="L8" i="1"/>
  <c r="M8" i="1"/>
  <c r="V20" i="1" l="1"/>
  <c r="Q76" i="1"/>
  <c r="V76" i="1"/>
  <c r="R47" i="1"/>
  <c r="V47" i="1"/>
  <c r="Q38" i="1"/>
  <c r="V38" i="1"/>
  <c r="Q55" i="1"/>
  <c r="V55" i="1"/>
  <c r="V107" i="1"/>
  <c r="R62" i="1"/>
  <c r="V62" i="1"/>
  <c r="R76" i="1"/>
  <c r="Q75" i="1"/>
  <c r="V75" i="1"/>
  <c r="R38" i="1"/>
  <c r="Q47" i="1"/>
  <c r="Q62" i="1"/>
  <c r="R55" i="1"/>
  <c r="M69" i="1"/>
  <c r="M109" i="1" s="1"/>
  <c r="L69" i="1"/>
  <c r="L109" i="1" s="1"/>
  <c r="N69" i="1"/>
  <c r="O20" i="1"/>
  <c r="O8" i="1"/>
  <c r="V8" i="1" s="1"/>
  <c r="H17" i="1"/>
  <c r="G17" i="1"/>
  <c r="O17" i="1" s="1"/>
  <c r="V17" i="1" s="1"/>
  <c r="M94" i="1" l="1"/>
  <c r="M105" i="1" s="1"/>
  <c r="L94" i="1"/>
  <c r="L105" i="1" s="1"/>
  <c r="N109" i="1"/>
  <c r="N94" i="1"/>
  <c r="N105" i="1" s="1"/>
  <c r="R53" i="1"/>
  <c r="Q53" i="1"/>
  <c r="K73" i="1"/>
  <c r="O73" i="1" s="1"/>
  <c r="V73" i="1" s="1"/>
  <c r="Q60" i="1"/>
  <c r="Q64" i="1"/>
  <c r="Q37" i="1"/>
  <c r="K26" i="1"/>
  <c r="K15" i="1"/>
  <c r="K107" i="1"/>
  <c r="K103" i="1"/>
  <c r="K78" i="1"/>
  <c r="K20" i="1"/>
  <c r="K8" i="1"/>
  <c r="R41" i="1" l="1"/>
  <c r="R61" i="1"/>
  <c r="Q61" i="1"/>
  <c r="Q41" i="1"/>
  <c r="R60" i="1"/>
  <c r="R64" i="1"/>
  <c r="K92" i="1"/>
  <c r="K14" i="1"/>
  <c r="K69" i="1" s="1"/>
  <c r="Q7" i="1"/>
  <c r="R7" i="1"/>
  <c r="F8" i="1"/>
  <c r="G8" i="1"/>
  <c r="H8" i="1"/>
  <c r="I8" i="1"/>
  <c r="J8" i="1"/>
  <c r="R10" i="1"/>
  <c r="R11" i="1"/>
  <c r="R12" i="1"/>
  <c r="R13" i="1"/>
  <c r="F14" i="1"/>
  <c r="G14" i="1"/>
  <c r="I14" i="1"/>
  <c r="J14" i="1"/>
  <c r="P14" i="1"/>
  <c r="W14" i="1" s="1"/>
  <c r="H15" i="1"/>
  <c r="R16" i="1"/>
  <c r="Q16" i="1"/>
  <c r="Q17" i="1"/>
  <c r="R17" i="1"/>
  <c r="Q18" i="1"/>
  <c r="R18" i="1"/>
  <c r="Q19" i="1"/>
  <c r="F20" i="1"/>
  <c r="G20" i="1"/>
  <c r="H20" i="1"/>
  <c r="I20" i="1"/>
  <c r="J20" i="1"/>
  <c r="P20" i="1"/>
  <c r="W20" i="1" s="1"/>
  <c r="Q21" i="1"/>
  <c r="R22" i="1"/>
  <c r="Q22" i="1"/>
  <c r="Q23" i="1"/>
  <c r="R23" i="1"/>
  <c r="I24" i="1"/>
  <c r="O24" i="1" s="1"/>
  <c r="V24" i="1" s="1"/>
  <c r="F26" i="1"/>
  <c r="G26" i="1"/>
  <c r="H26" i="1"/>
  <c r="J26" i="1"/>
  <c r="P27" i="1"/>
  <c r="F28" i="1"/>
  <c r="H28" i="1"/>
  <c r="I28" i="1"/>
  <c r="Q29" i="1"/>
  <c r="R29" i="1"/>
  <c r="F30" i="1"/>
  <c r="G30" i="1"/>
  <c r="Q31" i="1"/>
  <c r="R31" i="1"/>
  <c r="F32" i="1"/>
  <c r="G32" i="1"/>
  <c r="H32" i="1"/>
  <c r="I32" i="1"/>
  <c r="J32" i="1"/>
  <c r="F33" i="1"/>
  <c r="G33" i="1"/>
  <c r="H33" i="1"/>
  <c r="I33" i="1"/>
  <c r="J33" i="1"/>
  <c r="Q34" i="1"/>
  <c r="R34" i="1"/>
  <c r="Q35" i="1"/>
  <c r="R35" i="1"/>
  <c r="Q36" i="1"/>
  <c r="R37" i="1"/>
  <c r="Q39" i="1"/>
  <c r="R39" i="1"/>
  <c r="Q40" i="1"/>
  <c r="R40" i="1"/>
  <c r="F42" i="1"/>
  <c r="O42" i="1" s="1"/>
  <c r="V42" i="1" s="1"/>
  <c r="Q43" i="1"/>
  <c r="R43" i="1"/>
  <c r="Q44" i="1"/>
  <c r="R45" i="1"/>
  <c r="Q45" i="1"/>
  <c r="Q46" i="1"/>
  <c r="R46" i="1"/>
  <c r="Q48" i="1"/>
  <c r="R48" i="1"/>
  <c r="Q49" i="1"/>
  <c r="R49" i="1"/>
  <c r="F50" i="1"/>
  <c r="O50" i="1" s="1"/>
  <c r="V50" i="1" s="1"/>
  <c r="R51" i="1"/>
  <c r="Q51" i="1"/>
  <c r="F52" i="1"/>
  <c r="G52" i="1"/>
  <c r="H52" i="1"/>
  <c r="I52" i="1"/>
  <c r="J52" i="1"/>
  <c r="R54" i="1"/>
  <c r="Q54" i="1"/>
  <c r="Q56" i="1"/>
  <c r="R56" i="1"/>
  <c r="Q57" i="1"/>
  <c r="R57" i="1"/>
  <c r="Q58" i="1"/>
  <c r="R58" i="1"/>
  <c r="Q59" i="1"/>
  <c r="R59" i="1"/>
  <c r="Q63" i="1"/>
  <c r="R63" i="1"/>
  <c r="Q65" i="1"/>
  <c r="R65" i="1"/>
  <c r="Q66" i="1"/>
  <c r="R67" i="1"/>
  <c r="Q67" i="1"/>
  <c r="Q73" i="1"/>
  <c r="G74" i="1"/>
  <c r="O74" i="1" s="1"/>
  <c r="R75" i="1"/>
  <c r="F78" i="1"/>
  <c r="F92" i="1" s="1"/>
  <c r="G78" i="1"/>
  <c r="I78" i="1"/>
  <c r="J78" i="1"/>
  <c r="J92" i="1" s="1"/>
  <c r="P78" i="1"/>
  <c r="P92" i="1" s="1"/>
  <c r="R79" i="1"/>
  <c r="Q79" i="1"/>
  <c r="Q80" i="1"/>
  <c r="R80" i="1"/>
  <c r="H81" i="1"/>
  <c r="O81" i="1" s="1"/>
  <c r="R82" i="1"/>
  <c r="R83" i="1"/>
  <c r="Q84" i="1"/>
  <c r="R84" i="1"/>
  <c r="R85" i="1"/>
  <c r="Q85" i="1"/>
  <c r="R86" i="1"/>
  <c r="R87" i="1"/>
  <c r="I88" i="1"/>
  <c r="R89" i="1"/>
  <c r="R90" i="1"/>
  <c r="Q90" i="1"/>
  <c r="F103" i="1"/>
  <c r="G103" i="1"/>
  <c r="H103" i="1"/>
  <c r="J103" i="1"/>
  <c r="F107" i="1"/>
  <c r="G107" i="1"/>
  <c r="H107" i="1"/>
  <c r="I107" i="1"/>
  <c r="J107" i="1"/>
  <c r="Q74" i="1" l="1"/>
  <c r="V74" i="1"/>
  <c r="O78" i="1"/>
  <c r="Q78" i="1" s="1"/>
  <c r="V81" i="1"/>
  <c r="V78" i="1" s="1"/>
  <c r="G92" i="1"/>
  <c r="Q50" i="1"/>
  <c r="O33" i="1"/>
  <c r="V33" i="1" s="1"/>
  <c r="W69" i="1"/>
  <c r="O88" i="1"/>
  <c r="I92" i="1"/>
  <c r="O32" i="1"/>
  <c r="V32" i="1" s="1"/>
  <c r="O28" i="1"/>
  <c r="O30" i="1"/>
  <c r="V30" i="1" s="1"/>
  <c r="O26" i="1"/>
  <c r="R26" i="1" s="1"/>
  <c r="H14" i="1"/>
  <c r="O15" i="1"/>
  <c r="Q15" i="1" s="1"/>
  <c r="O52" i="1"/>
  <c r="P69" i="1"/>
  <c r="P94" i="1" s="1"/>
  <c r="P98" i="1" s="1"/>
  <c r="O107" i="1"/>
  <c r="K109" i="1"/>
  <c r="H78" i="1"/>
  <c r="H92" i="1" s="1"/>
  <c r="P109" i="1"/>
  <c r="I103" i="1"/>
  <c r="O103" i="1" s="1"/>
  <c r="I27" i="1"/>
  <c r="I69" i="1" s="1"/>
  <c r="I109" i="1" s="1"/>
  <c r="H27" i="1"/>
  <c r="J27" i="1"/>
  <c r="J69" i="1" s="1"/>
  <c r="F27" i="1"/>
  <c r="F69" i="1" s="1"/>
  <c r="G27" i="1"/>
  <c r="G69" i="1" s="1"/>
  <c r="G94" i="1" s="1"/>
  <c r="G105" i="1" s="1"/>
  <c r="K94" i="1"/>
  <c r="K105" i="1" s="1"/>
  <c r="Q25" i="1"/>
  <c r="R25" i="1"/>
  <c r="Q8" i="1"/>
  <c r="R8" i="1"/>
  <c r="R52" i="1"/>
  <c r="Q42" i="1"/>
  <c r="R42" i="1"/>
  <c r="R24" i="1"/>
  <c r="Q24" i="1"/>
  <c r="Q81" i="1"/>
  <c r="R81" i="1"/>
  <c r="R74" i="1"/>
  <c r="R73" i="1"/>
  <c r="R66" i="1"/>
  <c r="R50" i="1"/>
  <c r="R44" i="1"/>
  <c r="R36" i="1"/>
  <c r="R21" i="1"/>
  <c r="R19" i="1"/>
  <c r="R9" i="1"/>
  <c r="R32" i="1" l="1"/>
  <c r="H69" i="1"/>
  <c r="H94" i="1" s="1"/>
  <c r="H105" i="1" s="1"/>
  <c r="Q33" i="1"/>
  <c r="R33" i="1"/>
  <c r="O14" i="1"/>
  <c r="R14" i="1" s="1"/>
  <c r="V15" i="1"/>
  <c r="V14" i="1" s="1"/>
  <c r="Q52" i="1"/>
  <c r="V52" i="1"/>
  <c r="Q26" i="1"/>
  <c r="V26" i="1"/>
  <c r="Q32" i="1"/>
  <c r="O92" i="1"/>
  <c r="R92" i="1" s="1"/>
  <c r="V88" i="1"/>
  <c r="V103" i="1" s="1"/>
  <c r="V28" i="1"/>
  <c r="V27" i="1" s="1"/>
  <c r="O27" i="1"/>
  <c r="R88" i="1"/>
  <c r="H109" i="1"/>
  <c r="R15" i="1"/>
  <c r="I94" i="1"/>
  <c r="I105" i="1" s="1"/>
  <c r="Q30" i="1"/>
  <c r="R30" i="1"/>
  <c r="R28" i="1"/>
  <c r="Q28" i="1"/>
  <c r="F94" i="1"/>
  <c r="F105" i="1" s="1"/>
  <c r="F109" i="1"/>
  <c r="R78" i="1"/>
  <c r="J109" i="1"/>
  <c r="J94" i="1"/>
  <c r="J105" i="1" s="1"/>
  <c r="Q20" i="1"/>
  <c r="R20" i="1"/>
  <c r="G109" i="1"/>
  <c r="Q92" i="1" l="1"/>
  <c r="Q14" i="1"/>
  <c r="V92" i="1"/>
  <c r="O69" i="1"/>
  <c r="O94" i="1" s="1"/>
  <c r="V69" i="1"/>
  <c r="O109" i="1"/>
  <c r="O105" i="1"/>
  <c r="Q27" i="1"/>
  <c r="R27" i="1"/>
  <c r="V109" i="1" l="1"/>
  <c r="V94" i="1"/>
  <c r="V105" i="1" s="1"/>
  <c r="R69" i="1"/>
  <c r="R94" i="1" s="1"/>
  <c r="Q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Guillamón Palazón</author>
  </authors>
  <commentList>
    <comment ref="I3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contabilizado en 627.4 (50 pins plata)</t>
        </r>
      </text>
    </comment>
    <comment ref="L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contabilizado en 627.2</t>
        </r>
      </text>
    </comment>
    <comment ref="C4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gastos ponente? Antes se contabilizaba en 623</t>
        </r>
      </text>
    </comment>
  </commentList>
</comments>
</file>

<file path=xl/sharedStrings.xml><?xml version="1.0" encoding="utf-8"?>
<sst xmlns="http://schemas.openxmlformats.org/spreadsheetml/2006/main" count="116" uniqueCount="110">
  <si>
    <t xml:space="preserve">RESULTADO </t>
  </si>
  <si>
    <t>RESULTADO EXTRAORDINARIO</t>
  </si>
  <si>
    <t>RESULTADO EXPLOTACION</t>
  </si>
  <si>
    <t xml:space="preserve">RESULTADO FINANCIERO </t>
  </si>
  <si>
    <t>Desglose del resultado</t>
  </si>
  <si>
    <t>RESERVAS</t>
  </si>
  <si>
    <t>TOTAL INGRESOS</t>
  </si>
  <si>
    <t>Reversión del deterioro de cuotas colegio</t>
  </si>
  <si>
    <t>Ingresos excepcionales</t>
  </si>
  <si>
    <t>Otros ingresos financieros</t>
  </si>
  <si>
    <t>Bº por la venta de fondos de inversion y acciones</t>
  </si>
  <si>
    <t>AJUSTE VALOR MERCADO</t>
  </si>
  <si>
    <t>Revalorizacion de fondos de inversion</t>
  </si>
  <si>
    <t>Intereses Plazos Fijos</t>
  </si>
  <si>
    <t>Colaboraciones y patrocinios</t>
  </si>
  <si>
    <t>Otros ingresos</t>
  </si>
  <si>
    <t>Agendas y loteria</t>
  </si>
  <si>
    <t>Cuotas colegiados Primas AMIC</t>
  </si>
  <si>
    <t>Mutualidad Amic D.F.S.</t>
  </si>
  <si>
    <t>Primas Excesos RCP</t>
  </si>
  <si>
    <t>Ingresos por servicios diversos</t>
  </si>
  <si>
    <t>ESAMUR</t>
  </si>
  <si>
    <t>Cursos</t>
  </si>
  <si>
    <t>Visados</t>
  </si>
  <si>
    <t>Cuotas colegiados</t>
  </si>
  <si>
    <t>TOTAL GASTOS</t>
  </si>
  <si>
    <t>ESTIMACION</t>
  </si>
  <si>
    <t>Dotacion provisiones SRCP</t>
  </si>
  <si>
    <t>Amortizacion del inmovilizado material</t>
  </si>
  <si>
    <t>Amortizacion del inmovilizado intangible</t>
  </si>
  <si>
    <t>Gastos excepcionales</t>
  </si>
  <si>
    <t>Otros gastos financieros</t>
  </si>
  <si>
    <t>Perdidas por ajuste de valor acciones</t>
  </si>
  <si>
    <t>AJUSTE A VALOR DE MERCADO</t>
  </si>
  <si>
    <t>Perdidas por ajuste de valor de fondos de inversion</t>
  </si>
  <si>
    <t>Perdidas por la venta de fondos de inversion y acciones</t>
  </si>
  <si>
    <t>Perdidas por cuotas incobradas</t>
  </si>
  <si>
    <t>Bonificacion cuotas desempleo</t>
  </si>
  <si>
    <t>Subvencion ATECYR colegiados</t>
  </si>
  <si>
    <t>Programa formacion de colegiados</t>
  </si>
  <si>
    <t>Otros gastos sociales</t>
  </si>
  <si>
    <t>Seguridad Social</t>
  </si>
  <si>
    <t>Indemnizaciones al personal</t>
  </si>
  <si>
    <t>Sueldos y salarios empleados</t>
  </si>
  <si>
    <t>Ajustes negativos en la imposición indirecta</t>
  </si>
  <si>
    <t>Otros Tributos</t>
  </si>
  <si>
    <t>Viajes Institucionales.</t>
  </si>
  <si>
    <t>Cesión cuotas ASOCIACION</t>
  </si>
  <si>
    <t>Donación Proyectos Desarrollo</t>
  </si>
  <si>
    <t>Desplazamientos</t>
  </si>
  <si>
    <t>Participación en entidades</t>
  </si>
  <si>
    <t>Gastos de Juntas a Madrid</t>
  </si>
  <si>
    <t>Gastos Decano y Vicedecano</t>
  </si>
  <si>
    <t>Gastos de Juntas de Gobierno</t>
  </si>
  <si>
    <t>Proteccion de datos</t>
  </si>
  <si>
    <t>Servicio prevencion de riesgos</t>
  </si>
  <si>
    <t>Visitas y viajes sociales</t>
  </si>
  <si>
    <t>Otros Servicios a Colegiados (carnets, agenda y loteria)</t>
  </si>
  <si>
    <t>Cuotas Consejo General Col.Ingenieros</t>
  </si>
  <si>
    <t>Atenciones Protocolarias</t>
  </si>
  <si>
    <t>Plan Estretagico</t>
  </si>
  <si>
    <t>Material y Consumibles de oficina</t>
  </si>
  <si>
    <t>Telefono, Internet,  Mensajes</t>
  </si>
  <si>
    <t>Hemeroteca y Biblioteca</t>
  </si>
  <si>
    <t>Limpieza oficinas</t>
  </si>
  <si>
    <t>Correos y Mensajería</t>
  </si>
  <si>
    <t>Gastos de comunidad</t>
  </si>
  <si>
    <t>Otros servicios</t>
  </si>
  <si>
    <t>Suministros: Electricidad y Agua</t>
  </si>
  <si>
    <t>Comunicación</t>
  </si>
  <si>
    <t>Servicios bancarios y similares</t>
  </si>
  <si>
    <t>Otros Seguros</t>
  </si>
  <si>
    <t>Seguro AMIC</t>
  </si>
  <si>
    <t>Seguro Responsabilidad Civil</t>
  </si>
  <si>
    <t>Primas de seguros</t>
  </si>
  <si>
    <t>auditoria 2017 y 2018</t>
  </si>
  <si>
    <t>Otros servicios  profesionales ( Auditores)</t>
  </si>
  <si>
    <t>Convenio Esamur</t>
  </si>
  <si>
    <t>Asesoría jurídica</t>
  </si>
  <si>
    <t>Asesoria financiera</t>
  </si>
  <si>
    <t>Asesoria contable, fiscal y laboral + Controller</t>
  </si>
  <si>
    <t>Servicios profesionales independientes</t>
  </si>
  <si>
    <t>Instalaciones: mantenimiento</t>
  </si>
  <si>
    <t>Informática mantenimiento</t>
  </si>
  <si>
    <t>Informática Visados</t>
  </si>
  <si>
    <t>Fotocopias: mantenimiento</t>
  </si>
  <si>
    <t>Informática Web</t>
  </si>
  <si>
    <t>Mantenimientos</t>
  </si>
  <si>
    <t>Arrendamiento de  Footocopiadora</t>
  </si>
  <si>
    <t>DIFERENCIA</t>
  </si>
  <si>
    <t>% Ejec</t>
  </si>
  <si>
    <t>PPTO 19</t>
  </si>
  <si>
    <t>ACUMULADO</t>
  </si>
  <si>
    <t>MAYO</t>
  </si>
  <si>
    <t>ABRIL</t>
  </si>
  <si>
    <t>MARZO</t>
  </si>
  <si>
    <t>FEBRERO</t>
  </si>
  <si>
    <t>ENERO</t>
  </si>
  <si>
    <t>EJECUCION PRESUPUESTO  2019</t>
  </si>
  <si>
    <t>JUNIO</t>
  </si>
  <si>
    <t>En junio diferencia Enering (INFO)</t>
  </si>
  <si>
    <t>A 30 SEPTIEMBRE</t>
  </si>
  <si>
    <t>JULIO</t>
  </si>
  <si>
    <t>AGOSTO</t>
  </si>
  <si>
    <t>SEPTIEMBRE</t>
  </si>
  <si>
    <t>Subvenciones</t>
  </si>
  <si>
    <t>Otros gastos (cursos y jornadas)</t>
  </si>
  <si>
    <t>oct-nov-dic</t>
  </si>
  <si>
    <t>ppto</t>
  </si>
  <si>
    <t>total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</si>
</sst>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rgb="FFFF0000"/>
      <name val="Arial"/>
      <family val="2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4" fontId="0" fillId="0" borderId="0" xfId="0" applyNumberFormat="1"/>
    <xf numFmtId="0" fontId="4" fillId="0" borderId="0" xfId="0" applyFont="1"/>
    <xf numFmtId="4" fontId="5" fillId="2" borderId="1" xfId="0" applyNumberFormat="1" applyFont="1" applyFill="1" applyBorder="1"/>
    <xf numFmtId="4" fontId="6" fillId="2" borderId="2" xfId="0" applyNumberFormat="1" applyFont="1" applyFill="1" applyBorder="1"/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0" fontId="2" fillId="2" borderId="3" xfId="0" applyFont="1" applyFill="1" applyBorder="1"/>
    <xf numFmtId="0" fontId="9" fillId="0" borderId="4" xfId="0" applyFont="1" applyBorder="1"/>
    <xf numFmtId="0" fontId="10" fillId="0" borderId="0" xfId="0" applyFont="1"/>
    <xf numFmtId="4" fontId="5" fillId="0" borderId="5" xfId="0" applyNumberFormat="1" applyFont="1" applyBorder="1"/>
    <xf numFmtId="4" fontId="8" fillId="0" borderId="2" xfId="0" applyNumberFormat="1" applyFont="1" applyBorder="1"/>
    <xf numFmtId="4" fontId="11" fillId="0" borderId="1" xfId="0" applyNumberFormat="1" applyFont="1" applyBorder="1"/>
    <xf numFmtId="0" fontId="2" fillId="0" borderId="3" xfId="0" applyFont="1" applyBorder="1"/>
    <xf numFmtId="4" fontId="13" fillId="0" borderId="4" xfId="0" applyNumberFormat="1" applyFont="1" applyBorder="1"/>
    <xf numFmtId="4" fontId="12" fillId="0" borderId="0" xfId="0" applyNumberFormat="1" applyFont="1"/>
    <xf numFmtId="4" fontId="5" fillId="0" borderId="5" xfId="0" applyNumberFormat="1" applyFont="1" applyFill="1" applyBorder="1"/>
    <xf numFmtId="4" fontId="8" fillId="0" borderId="2" xfId="0" applyNumberFormat="1" applyFont="1" applyFill="1" applyBorder="1"/>
    <xf numFmtId="0" fontId="4" fillId="0" borderId="0" xfId="0" applyFont="1" applyFill="1"/>
    <xf numFmtId="0" fontId="14" fillId="0" borderId="4" xfId="0" applyFont="1" applyFill="1" applyBorder="1"/>
    <xf numFmtId="0" fontId="0" fillId="0" borderId="0" xfId="0" applyFill="1"/>
    <xf numFmtId="4" fontId="7" fillId="0" borderId="2" xfId="0" applyNumberFormat="1" applyFont="1" applyFill="1" applyBorder="1"/>
    <xf numFmtId="4" fontId="7" fillId="0" borderId="1" xfId="0" applyNumberFormat="1" applyFont="1" applyBorder="1"/>
    <xf numFmtId="4" fontId="8" fillId="0" borderId="1" xfId="0" applyNumberFormat="1" applyFont="1" applyBorder="1"/>
    <xf numFmtId="0" fontId="15" fillId="0" borderId="0" xfId="0" applyFont="1"/>
    <xf numFmtId="4" fontId="5" fillId="0" borderId="1" xfId="0" applyNumberFormat="1" applyFont="1" applyBorder="1"/>
    <xf numFmtId="4" fontId="2" fillId="0" borderId="1" xfId="0" applyNumberFormat="1" applyFont="1" applyBorder="1"/>
    <xf numFmtId="4" fontId="16" fillId="0" borderId="1" xfId="0" applyNumberFormat="1" applyFont="1" applyBorder="1"/>
    <xf numFmtId="0" fontId="0" fillId="0" borderId="3" xfId="0" applyBorder="1"/>
    <xf numFmtId="4" fontId="4" fillId="0" borderId="0" xfId="0" applyNumberFormat="1" applyFont="1"/>
    <xf numFmtId="4" fontId="15" fillId="0" borderId="0" xfId="0" applyNumberFormat="1" applyFont="1"/>
    <xf numFmtId="4" fontId="0" fillId="0" borderId="6" xfId="0" applyNumberFormat="1" applyBorder="1"/>
    <xf numFmtId="4" fontId="7" fillId="0" borderId="7" xfId="0" applyNumberFormat="1" applyFont="1" applyBorder="1"/>
    <xf numFmtId="4" fontId="7" fillId="0" borderId="2" xfId="0" applyNumberFormat="1" applyFont="1" applyBorder="1"/>
    <xf numFmtId="0" fontId="13" fillId="0" borderId="3" xfId="0" applyFont="1" applyBorder="1"/>
    <xf numFmtId="9" fontId="2" fillId="0" borderId="7" xfId="1" applyFont="1" applyBorder="1"/>
    <xf numFmtId="4" fontId="5" fillId="0" borderId="8" xfId="0" applyNumberFormat="1" applyFont="1" applyFill="1" applyBorder="1"/>
    <xf numFmtId="4" fontId="7" fillId="0" borderId="9" xfId="0" applyNumberFormat="1" applyFont="1" applyBorder="1"/>
    <xf numFmtId="4" fontId="7" fillId="0" borderId="8" xfId="0" applyNumberFormat="1" applyFont="1" applyBorder="1"/>
    <xf numFmtId="0" fontId="2" fillId="0" borderId="7" xfId="0" applyFont="1" applyBorder="1"/>
    <xf numFmtId="0" fontId="0" fillId="0" borderId="10" xfId="0" applyBorder="1"/>
    <xf numFmtId="0" fontId="2" fillId="0" borderId="11" xfId="0" applyFont="1" applyBorder="1"/>
    <xf numFmtId="4" fontId="0" fillId="0" borderId="12" xfId="0" applyNumberFormat="1" applyBorder="1"/>
    <xf numFmtId="9" fontId="0" fillId="0" borderId="13" xfId="1" applyFont="1" applyBorder="1"/>
    <xf numFmtId="0" fontId="4" fillId="0" borderId="14" xfId="0" applyFont="1" applyFill="1" applyBorder="1"/>
    <xf numFmtId="4" fontId="4" fillId="0" borderId="15" xfId="0" applyNumberFormat="1" applyFont="1" applyBorder="1"/>
    <xf numFmtId="0" fontId="5" fillId="0" borderId="11" xfId="0" applyFont="1" applyBorder="1"/>
    <xf numFmtId="0" fontId="5" fillId="0" borderId="13" xfId="0" applyFont="1" applyBorder="1"/>
    <xf numFmtId="0" fontId="16" fillId="0" borderId="13" xfId="0" applyFont="1" applyBorder="1"/>
    <xf numFmtId="0" fontId="0" fillId="0" borderId="16" xfId="0" applyBorder="1"/>
    <xf numFmtId="0" fontId="2" fillId="0" borderId="17" xfId="0" applyFont="1" applyBorder="1"/>
    <xf numFmtId="9" fontId="0" fillId="0" borderId="0" xfId="1" applyFont="1"/>
    <xf numFmtId="4" fontId="4" fillId="0" borderId="16" xfId="0" applyNumberFormat="1" applyFont="1" applyFill="1" applyBorder="1"/>
    <xf numFmtId="4" fontId="7" fillId="0" borderId="4" xfId="0" applyNumberFormat="1" applyFont="1" applyFill="1" applyBorder="1"/>
    <xf numFmtId="4" fontId="7" fillId="0" borderId="17" xfId="0" applyNumberFormat="1" applyFont="1" applyBorder="1"/>
    <xf numFmtId="4" fontId="7" fillId="0" borderId="12" xfId="0" applyNumberFormat="1" applyFont="1" applyBorder="1"/>
    <xf numFmtId="4" fontId="4" fillId="0" borderId="16" xfId="0" applyNumberFormat="1" applyFont="1" applyBorder="1"/>
    <xf numFmtId="4" fontId="7" fillId="0" borderId="17" xfId="0" applyNumberFormat="1" applyFont="1" applyFill="1" applyBorder="1"/>
    <xf numFmtId="4" fontId="7" fillId="0" borderId="12" xfId="0" applyNumberFormat="1" applyFont="1" applyFill="1" applyBorder="1"/>
    <xf numFmtId="4" fontId="4" fillId="0" borderId="12" xfId="0" applyNumberFormat="1" applyFont="1" applyFill="1" applyBorder="1"/>
    <xf numFmtId="4" fontId="7" fillId="3" borderId="17" xfId="0" applyNumberFormat="1" applyFont="1" applyFill="1" applyBorder="1"/>
    <xf numFmtId="4" fontId="7" fillId="3" borderId="12" xfId="0" applyNumberFormat="1" applyFont="1" applyFill="1" applyBorder="1"/>
    <xf numFmtId="4" fontId="4" fillId="3" borderId="12" xfId="0" applyNumberFormat="1" applyFont="1" applyFill="1" applyBorder="1"/>
    <xf numFmtId="4" fontId="7" fillId="0" borderId="18" xfId="0" applyNumberFormat="1" applyFont="1" applyBorder="1"/>
    <xf numFmtId="4" fontId="7" fillId="0" borderId="19" xfId="0" applyNumberFormat="1" applyFont="1" applyBorder="1"/>
    <xf numFmtId="4" fontId="7" fillId="0" borderId="20" xfId="0" applyNumberFormat="1" applyFont="1" applyBorder="1"/>
    <xf numFmtId="4" fontId="4" fillId="0" borderId="14" xfId="0" applyNumberFormat="1" applyFont="1" applyBorder="1"/>
    <xf numFmtId="4" fontId="4" fillId="0" borderId="13" xfId="0" applyNumberFormat="1" applyFont="1" applyBorder="1"/>
    <xf numFmtId="4" fontId="15" fillId="0" borderId="14" xfId="0" applyNumberFormat="1" applyFont="1" applyBorder="1"/>
    <xf numFmtId="0" fontId="0" fillId="0" borderId="14" xfId="0" applyBorder="1"/>
    <xf numFmtId="0" fontId="0" fillId="0" borderId="11" xfId="0" applyBorder="1"/>
    <xf numFmtId="4" fontId="15" fillId="0" borderId="4" xfId="0" applyNumberFormat="1" applyFont="1" applyBorder="1"/>
    <xf numFmtId="4" fontId="15" fillId="0" borderId="0" xfId="0" applyNumberFormat="1" applyFont="1" applyBorder="1"/>
    <xf numFmtId="4" fontId="15" fillId="0" borderId="16" xfId="0" applyNumberFormat="1" applyFont="1" applyBorder="1"/>
    <xf numFmtId="0" fontId="0" fillId="0" borderId="17" xfId="0" applyBorder="1"/>
    <xf numFmtId="4" fontId="4" fillId="0" borderId="20" xfId="0" applyNumberFormat="1" applyFont="1" applyBorder="1"/>
    <xf numFmtId="4" fontId="15" fillId="0" borderId="21" xfId="0" applyNumberFormat="1" applyFont="1" applyFill="1" applyBorder="1"/>
    <xf numFmtId="4" fontId="15" fillId="0" borderId="18" xfId="0" applyNumberFormat="1" applyFont="1" applyFill="1" applyBorder="1"/>
    <xf numFmtId="4" fontId="15" fillId="0" borderId="19" xfId="0" applyNumberFormat="1" applyFont="1" applyFill="1" applyBorder="1"/>
    <xf numFmtId="4" fontId="15" fillId="0" borderId="20" xfId="0" applyNumberFormat="1" applyFont="1" applyFill="1" applyBorder="1"/>
    <xf numFmtId="0" fontId="0" fillId="0" borderId="20" xfId="0" applyBorder="1"/>
    <xf numFmtId="0" fontId="0" fillId="0" borderId="22" xfId="0" applyBorder="1"/>
    <xf numFmtId="0" fontId="0" fillId="0" borderId="18" xfId="0" applyBorder="1"/>
    <xf numFmtId="4" fontId="7" fillId="0" borderId="15" xfId="0" applyNumberFormat="1" applyFont="1" applyBorder="1"/>
    <xf numFmtId="4" fontId="7" fillId="0" borderId="0" xfId="0" applyNumberFormat="1" applyFont="1" applyBorder="1"/>
    <xf numFmtId="4" fontId="7" fillId="0" borderId="16" xfId="0" applyNumberFormat="1" applyFont="1" applyBorder="1"/>
    <xf numFmtId="4" fontId="7" fillId="0" borderId="4" xfId="0" applyNumberFormat="1" applyFont="1" applyBorder="1"/>
    <xf numFmtId="4" fontId="7" fillId="0" borderId="16" xfId="0" applyNumberFormat="1" applyFont="1" applyFill="1" applyBorder="1"/>
    <xf numFmtId="4" fontId="0" fillId="0" borderId="19" xfId="0" applyNumberFormat="1" applyBorder="1"/>
    <xf numFmtId="4" fontId="7" fillId="0" borderId="23" xfId="0" applyNumberFormat="1" applyFont="1" applyBorder="1"/>
    <xf numFmtId="0" fontId="2" fillId="0" borderId="18" xfId="0" applyFont="1" applyBorder="1"/>
    <xf numFmtId="9" fontId="0" fillId="0" borderId="10" xfId="1" applyFont="1" applyBorder="1"/>
    <xf numFmtId="0" fontId="5" fillId="0" borderId="0" xfId="0" applyFont="1" applyAlignment="1">
      <alignment horizontal="right"/>
    </xf>
    <xf numFmtId="17" fontId="2" fillId="0" borderId="0" xfId="0" applyNumberFormat="1" applyFont="1" applyAlignment="1">
      <alignment horizontal="right"/>
    </xf>
    <xf numFmtId="17" fontId="16" fillId="0" borderId="0" xfId="0" applyNumberFormat="1" applyFont="1" applyAlignment="1">
      <alignment horizontal="right"/>
    </xf>
    <xf numFmtId="9" fontId="2" fillId="0" borderId="6" xfId="1" applyFont="1" applyBorder="1"/>
    <xf numFmtId="4" fontId="7" fillId="0" borderId="24" xfId="0" applyNumberFormat="1" applyFont="1" applyBorder="1"/>
    <xf numFmtId="4" fontId="7" fillId="0" borderId="25" xfId="0" applyNumberFormat="1" applyFont="1" applyBorder="1"/>
    <xf numFmtId="4" fontId="12" fillId="0" borderId="4" xfId="0" applyNumberFormat="1" applyFont="1" applyBorder="1"/>
    <xf numFmtId="4" fontId="12" fillId="0" borderId="17" xfId="0" applyNumberFormat="1" applyFont="1" applyBorder="1"/>
    <xf numFmtId="4" fontId="12" fillId="0" borderId="12" xfId="0" applyNumberFormat="1" applyFont="1" applyBorder="1"/>
    <xf numFmtId="4" fontId="12" fillId="0" borderId="16" xfId="0" applyNumberFormat="1" applyFont="1" applyBorder="1"/>
    <xf numFmtId="4" fontId="7" fillId="3" borderId="0" xfId="0" applyNumberFormat="1" applyFont="1" applyFill="1" applyBorder="1"/>
    <xf numFmtId="4" fontId="7" fillId="3" borderId="16" xfId="0" applyNumberFormat="1" applyFont="1" applyFill="1" applyBorder="1"/>
    <xf numFmtId="4" fontId="7" fillId="3" borderId="0" xfId="0" applyNumberFormat="1" applyFont="1" applyFill="1"/>
    <xf numFmtId="4" fontId="7" fillId="0" borderId="0" xfId="0" applyNumberFormat="1" applyFont="1"/>
    <xf numFmtId="0" fontId="2" fillId="0" borderId="16" xfId="0" applyFont="1" applyBorder="1"/>
    <xf numFmtId="4" fontId="0" fillId="0" borderId="13" xfId="0" applyNumberFormat="1" applyBorder="1"/>
    <xf numFmtId="4" fontId="15" fillId="0" borderId="10" xfId="0" applyNumberFormat="1" applyFont="1" applyBorder="1"/>
    <xf numFmtId="4" fontId="15" fillId="0" borderId="13" xfId="0" applyNumberFormat="1" applyFont="1" applyBorder="1"/>
    <xf numFmtId="4" fontId="15" fillId="0" borderId="4" xfId="0" applyNumberFormat="1" applyFont="1" applyFill="1" applyBorder="1"/>
    <xf numFmtId="0" fontId="0" fillId="0" borderId="16" xfId="0" applyFill="1" applyBorder="1"/>
    <xf numFmtId="0" fontId="0" fillId="0" borderId="17" xfId="0" applyFill="1" applyBorder="1"/>
    <xf numFmtId="4" fontId="4" fillId="0" borderId="20" xfId="0" applyNumberFormat="1" applyFont="1" applyFill="1" applyBorder="1"/>
    <xf numFmtId="4" fontId="15" fillId="0" borderId="22" xfId="0" applyNumberFormat="1" applyFont="1" applyBorder="1"/>
    <xf numFmtId="4" fontId="15" fillId="0" borderId="20" xfId="0" applyNumberFormat="1" applyFont="1" applyBorder="1"/>
    <xf numFmtId="4" fontId="2" fillId="0" borderId="13" xfId="0" applyNumberFormat="1" applyFont="1" applyBorder="1"/>
    <xf numFmtId="4" fontId="5" fillId="0" borderId="16" xfId="0" applyNumberFormat="1" applyFont="1" applyFill="1" applyBorder="1"/>
    <xf numFmtId="4" fontId="7" fillId="0" borderId="11" xfId="0" applyNumberFormat="1" applyFont="1" applyBorder="1"/>
    <xf numFmtId="4" fontId="7" fillId="0" borderId="13" xfId="0" applyNumberFormat="1" applyFont="1" applyBorder="1"/>
    <xf numFmtId="4" fontId="16" fillId="0" borderId="16" xfId="0" applyNumberFormat="1" applyFont="1" applyBorder="1"/>
    <xf numFmtId="4" fontId="7" fillId="0" borderId="21" xfId="0" applyNumberFormat="1" applyFont="1" applyFill="1" applyBorder="1"/>
    <xf numFmtId="4" fontId="15" fillId="0" borderId="17" xfId="0" applyNumberFormat="1" applyFont="1" applyBorder="1"/>
    <xf numFmtId="4" fontId="15" fillId="0" borderId="12" xfId="0" applyNumberFormat="1" applyFont="1" applyBorder="1"/>
    <xf numFmtId="0" fontId="0" fillId="0" borderId="0" xfId="0" applyBorder="1"/>
    <xf numFmtId="9" fontId="7" fillId="0" borderId="6" xfId="1" applyFont="1" applyFill="1" applyBorder="1"/>
    <xf numFmtId="4" fontId="5" fillId="0" borderId="16" xfId="0" applyNumberFormat="1" applyFont="1" applyBorder="1"/>
    <xf numFmtId="4" fontId="7" fillId="0" borderId="26" xfId="0" applyNumberFormat="1" applyFont="1" applyBorder="1"/>
    <xf numFmtId="4" fontId="7" fillId="0" borderId="27" xfId="0" applyNumberFormat="1" applyFont="1" applyBorder="1"/>
    <xf numFmtId="4" fontId="7" fillId="0" borderId="6" xfId="0" applyNumberFormat="1" applyFont="1" applyBorder="1"/>
    <xf numFmtId="4" fontId="15" fillId="0" borderId="11" xfId="0" applyNumberFormat="1" applyFont="1" applyBorder="1"/>
    <xf numFmtId="4" fontId="15" fillId="0" borderId="21" xfId="0" applyNumberFormat="1" applyFont="1" applyBorder="1"/>
    <xf numFmtId="4" fontId="15" fillId="0" borderId="18" xfId="0" applyNumberFormat="1" applyFont="1" applyBorder="1"/>
    <xf numFmtId="4" fontId="15" fillId="0" borderId="19" xfId="0" applyNumberFormat="1" applyFont="1" applyBorder="1"/>
    <xf numFmtId="4" fontId="17" fillId="0" borderId="16" xfId="0" applyNumberFormat="1" applyFont="1" applyBorder="1"/>
    <xf numFmtId="4" fontId="7" fillId="0" borderId="26" xfId="0" applyNumberFormat="1" applyFont="1" applyFill="1" applyBorder="1"/>
    <xf numFmtId="0" fontId="0" fillId="0" borderId="13" xfId="0" applyBorder="1"/>
    <xf numFmtId="0" fontId="2" fillId="0" borderId="22" xfId="0" applyFont="1" applyBorder="1"/>
    <xf numFmtId="0" fontId="2" fillId="0" borderId="10" xfId="0" applyFont="1" applyBorder="1"/>
    <xf numFmtId="0" fontId="2" fillId="0" borderId="0" xfId="0" applyFont="1" applyAlignment="1">
      <alignment horizontal="center"/>
    </xf>
    <xf numFmtId="17" fontId="2" fillId="0" borderId="23" xfId="0" applyNumberFormat="1" applyFont="1" applyBorder="1" applyAlignment="1">
      <alignment horizontal="right"/>
    </xf>
    <xf numFmtId="17" fontId="2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4" fontId="15" fillId="0" borderId="22" xfId="0" applyNumberFormat="1" applyFont="1" applyFill="1" applyBorder="1"/>
    <xf numFmtId="4" fontId="4" fillId="0" borderId="10" xfId="0" applyNumberFormat="1" applyFont="1" applyBorder="1"/>
    <xf numFmtId="16" fontId="0" fillId="0" borderId="0" xfId="0" applyNumberFormat="1" applyFill="1" applyAlignment="1">
      <alignment horizontal="left"/>
    </xf>
    <xf numFmtId="4" fontId="15" fillId="0" borderId="0" xfId="0" applyNumberFormat="1" applyFont="1" applyFill="1" applyBorder="1"/>
    <xf numFmtId="4" fontId="7" fillId="0" borderId="28" xfId="0" applyNumberFormat="1" applyFont="1" applyBorder="1"/>
    <xf numFmtId="4" fontId="7" fillId="0" borderId="22" xfId="0" applyNumberFormat="1" applyFont="1" applyFill="1" applyBorder="1"/>
    <xf numFmtId="4" fontId="7" fillId="0" borderId="0" xfId="0" applyNumberFormat="1" applyFont="1" applyFill="1" applyBorder="1"/>
    <xf numFmtId="4" fontId="12" fillId="0" borderId="0" xfId="0" applyNumberFormat="1" applyFont="1" applyBorder="1"/>
    <xf numFmtId="0" fontId="5" fillId="0" borderId="10" xfId="0" applyFont="1" applyBorder="1"/>
    <xf numFmtId="4" fontId="7" fillId="4" borderId="0" xfId="0" applyNumberFormat="1" applyFont="1" applyFill="1" applyBorder="1"/>
    <xf numFmtId="4" fontId="4" fillId="0" borderId="11" xfId="0" applyNumberFormat="1" applyFont="1" applyBorder="1"/>
    <xf numFmtId="4" fontId="15" fillId="0" borderId="15" xfId="0" applyNumberFormat="1" applyFont="1" applyFill="1" applyBorder="1"/>
    <xf numFmtId="4" fontId="4" fillId="0" borderId="29" xfId="0" applyNumberFormat="1" applyFont="1" applyBorder="1"/>
    <xf numFmtId="9" fontId="0" fillId="0" borderId="28" xfId="1" applyFont="1" applyBorder="1"/>
    <xf numFmtId="4" fontId="2" fillId="0" borderId="6" xfId="0" applyNumberFormat="1" applyFont="1" applyBorder="1"/>
    <xf numFmtId="4" fontId="5" fillId="0" borderId="6" xfId="0" applyNumberFormat="1" applyFont="1" applyBorder="1"/>
    <xf numFmtId="17" fontId="2" fillId="0" borderId="10" xfId="0" applyNumberFormat="1" applyFont="1" applyBorder="1" applyAlignment="1">
      <alignment horizontal="right"/>
    </xf>
    <xf numFmtId="9" fontId="0" fillId="0" borderId="11" xfId="1" applyFont="1" applyBorder="1"/>
    <xf numFmtId="4" fontId="7" fillId="0" borderId="10" xfId="0" applyNumberFormat="1" applyFont="1" applyBorder="1"/>
    <xf numFmtId="4" fontId="7" fillId="0" borderId="19" xfId="0" applyNumberFormat="1" applyFont="1" applyFill="1" applyBorder="1"/>
    <xf numFmtId="4" fontId="15" fillId="0" borderId="12" xfId="0" applyNumberFormat="1" applyFont="1" applyFill="1" applyBorder="1"/>
    <xf numFmtId="4" fontId="12" fillId="0" borderId="13" xfId="0" applyNumberFormat="1" applyFont="1" applyBorder="1"/>
    <xf numFmtId="4" fontId="15" fillId="5" borderId="12" xfId="0" applyNumberFormat="1" applyFont="1" applyFill="1" applyBorder="1"/>
    <xf numFmtId="4" fontId="15" fillId="5" borderId="16" xfId="0" applyNumberFormat="1" applyFont="1" applyFill="1" applyBorder="1"/>
    <xf numFmtId="4" fontId="15" fillId="5" borderId="4" xfId="0" applyNumberFormat="1" applyFont="1" applyFill="1" applyBorder="1"/>
    <xf numFmtId="0" fontId="0" fillId="5" borderId="17" xfId="0" applyFill="1" applyBorder="1"/>
    <xf numFmtId="0" fontId="0" fillId="5" borderId="0" xfId="0" applyFill="1"/>
    <xf numFmtId="0" fontId="0" fillId="5" borderId="16" xfId="0" applyFill="1" applyBorder="1"/>
    <xf numFmtId="4" fontId="2" fillId="0" borderId="0" xfId="0" applyNumberFormat="1" applyFont="1" applyFill="1"/>
    <xf numFmtId="2" fontId="0" fillId="0" borderId="0" xfId="0" applyNumberFormat="1"/>
    <xf numFmtId="4" fontId="0" fillId="0" borderId="0" xfId="0" applyNumberFormat="1" applyFont="1"/>
    <xf numFmtId="0" fontId="0" fillId="0" borderId="0" xfId="0" applyFont="1"/>
    <xf numFmtId="0" fontId="0" fillId="4" borderId="0" xfId="0" applyFill="1"/>
    <xf numFmtId="0" fontId="2" fillId="0" borderId="0" xfId="0" applyFont="1" applyFill="1"/>
    <xf numFmtId="0" fontId="2" fillId="0" borderId="6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14"/>
  <sheetViews>
    <sheetView tabSelected="1" topLeftCell="E30" zoomScaleNormal="100" workbookViewId="0">
      <selection activeCell="A3" sqref="A3"/>
    </sheetView>
  </sheetViews>
  <sheetFormatPr baseColWidth="10" defaultRowHeight="15" x14ac:dyDescent="0.25"/>
  <cols>
    <col min="1" max="1" width="4" bestFit="1" customWidth="1"/>
    <col min="2" max="2" width="5.140625" style="1" bestFit="1" customWidth="1"/>
    <col min="5" max="5" width="33.42578125" customWidth="1"/>
    <col min="6" max="7" width="10.85546875" bestFit="1" customWidth="1"/>
    <col min="8" max="8" width="10.140625" bestFit="1" customWidth="1"/>
    <col min="9" max="9" width="10.85546875" bestFit="1" customWidth="1"/>
    <col min="10" max="10" width="11.28515625" bestFit="1" customWidth="1"/>
    <col min="11" max="14" width="11.28515625" customWidth="1"/>
    <col min="15" max="15" width="13" bestFit="1" customWidth="1"/>
    <col min="16" max="16" width="11.28515625" bestFit="1" customWidth="1"/>
    <col min="17" max="17" width="8.7109375" customWidth="1"/>
    <col min="20" max="20" width="22.140625" customWidth="1"/>
  </cols>
  <sheetData>
    <row r="2" spans="2:23" x14ac:dyDescent="0.25">
      <c r="F2" s="23"/>
      <c r="G2" s="23"/>
      <c r="H2" s="23"/>
      <c r="I2" s="23"/>
      <c r="J2" s="23"/>
      <c r="K2" s="23"/>
      <c r="L2" s="23"/>
      <c r="M2" s="23"/>
      <c r="N2" s="23"/>
    </row>
    <row r="3" spans="2:23" ht="18" x14ac:dyDescent="0.25">
      <c r="D3" s="146" t="s">
        <v>98</v>
      </c>
    </row>
    <row r="5" spans="2:23" ht="18.75" thickBot="1" x14ac:dyDescent="0.3">
      <c r="E5" s="145" t="s">
        <v>101</v>
      </c>
      <c r="O5" s="23"/>
    </row>
    <row r="6" spans="2:23" x14ac:dyDescent="0.25">
      <c r="F6" s="96" t="s">
        <v>97</v>
      </c>
      <c r="G6" s="96" t="s">
        <v>96</v>
      </c>
      <c r="H6" s="144" t="s">
        <v>95</v>
      </c>
      <c r="I6" s="144" t="s">
        <v>94</v>
      </c>
      <c r="J6" s="144" t="s">
        <v>93</v>
      </c>
      <c r="K6" s="144" t="s">
        <v>99</v>
      </c>
      <c r="L6" s="144" t="s">
        <v>102</v>
      </c>
      <c r="M6" s="144" t="s">
        <v>103</v>
      </c>
      <c r="N6" s="144" t="s">
        <v>104</v>
      </c>
      <c r="O6" s="143" t="s">
        <v>92</v>
      </c>
      <c r="P6" s="142" t="s">
        <v>91</v>
      </c>
      <c r="Q6" s="141" t="s">
        <v>90</v>
      </c>
      <c r="R6" t="s">
        <v>89</v>
      </c>
      <c r="U6" s="181" t="s">
        <v>107</v>
      </c>
      <c r="V6" s="181" t="s">
        <v>109</v>
      </c>
      <c r="W6" s="181" t="s">
        <v>108</v>
      </c>
    </row>
    <row r="7" spans="2:23" x14ac:dyDescent="0.25">
      <c r="B7" s="93">
        <v>621</v>
      </c>
      <c r="C7" s="140" t="s">
        <v>88</v>
      </c>
      <c r="D7" s="84"/>
      <c r="E7" s="83"/>
      <c r="F7" s="132">
        <v>101.33</v>
      </c>
      <c r="G7" s="132">
        <v>183.77</v>
      </c>
      <c r="H7" s="132">
        <v>0</v>
      </c>
      <c r="I7" s="132">
        <v>0</v>
      </c>
      <c r="J7" s="131">
        <v>132.41999999999999</v>
      </c>
      <c r="K7" s="132">
        <v>132.41999999999999</v>
      </c>
      <c r="L7" s="132">
        <v>177.84</v>
      </c>
      <c r="M7" s="132">
        <v>87</v>
      </c>
      <c r="N7" s="151">
        <f>45.42+87</f>
        <v>132.42000000000002</v>
      </c>
      <c r="O7" s="138">
        <f>SUM(F7:N7)</f>
        <v>947.2</v>
      </c>
      <c r="P7" s="159">
        <v>2500</v>
      </c>
      <c r="Q7" s="160">
        <f>+O7/P7</f>
        <v>0.37887999999999999</v>
      </c>
      <c r="R7" s="34">
        <f>P7-O7</f>
        <v>1552.8</v>
      </c>
      <c r="U7" s="1">
        <f>105.24*3</f>
        <v>315.71999999999997</v>
      </c>
      <c r="V7" s="2">
        <f t="shared" ref="V7:V13" si="0">+O7+U7</f>
        <v>1262.92</v>
      </c>
      <c r="W7" s="2">
        <f>+P7</f>
        <v>2500</v>
      </c>
    </row>
    <row r="8" spans="2:23" x14ac:dyDescent="0.25">
      <c r="B8" s="53">
        <v>622</v>
      </c>
      <c r="C8" s="1" t="s">
        <v>87</v>
      </c>
      <c r="E8" s="52"/>
      <c r="F8" s="88">
        <f t="shared" ref="F8:N8" si="1">F9+F10+F11+F12+F13</f>
        <v>1363.11</v>
      </c>
      <c r="G8" s="57">
        <f t="shared" si="1"/>
        <v>243.43</v>
      </c>
      <c r="H8" s="122">
        <f t="shared" si="1"/>
        <v>1093.6699999999998</v>
      </c>
      <c r="I8" s="122">
        <f t="shared" si="1"/>
        <v>994.44999999999993</v>
      </c>
      <c r="J8" s="121">
        <f t="shared" si="1"/>
        <v>875.15</v>
      </c>
      <c r="K8" s="122">
        <f t="shared" si="1"/>
        <v>587.75</v>
      </c>
      <c r="L8" s="122">
        <f t="shared" si="1"/>
        <v>1361.77</v>
      </c>
      <c r="M8" s="122">
        <f t="shared" si="1"/>
        <v>456.81</v>
      </c>
      <c r="N8" s="165">
        <f t="shared" si="1"/>
        <v>936.7</v>
      </c>
      <c r="O8" s="89">
        <f>+O9+O10+O11+O12+O13</f>
        <v>7912.84</v>
      </c>
      <c r="P8" s="137">
        <v>14000</v>
      </c>
      <c r="Q8" s="46">
        <f>+O8/P8</f>
        <v>0.56520285714285712</v>
      </c>
      <c r="R8" s="161">
        <f>P8-O8</f>
        <v>6087.16</v>
      </c>
      <c r="U8" s="1">
        <f>SUM(U9:U13)</f>
        <v>2173.59</v>
      </c>
      <c r="V8" s="2">
        <f t="shared" si="0"/>
        <v>10086.43</v>
      </c>
      <c r="W8" s="2">
        <f>+P8</f>
        <v>14000</v>
      </c>
    </row>
    <row r="9" spans="2:23" x14ac:dyDescent="0.25">
      <c r="B9" s="53"/>
      <c r="C9" s="85" t="s">
        <v>86</v>
      </c>
      <c r="D9" s="84"/>
      <c r="E9" s="83"/>
      <c r="F9" s="118">
        <v>470.05</v>
      </c>
      <c r="G9" s="118">
        <v>9.06</v>
      </c>
      <c r="H9" s="118">
        <v>384.06</v>
      </c>
      <c r="I9" s="118">
        <v>473.06</v>
      </c>
      <c r="J9" s="117">
        <v>640.78</v>
      </c>
      <c r="K9" s="136">
        <v>415.78</v>
      </c>
      <c r="L9" s="136">
        <v>256.72000000000003</v>
      </c>
      <c r="M9" s="136">
        <v>297.44</v>
      </c>
      <c r="N9" s="117">
        <v>278</v>
      </c>
      <c r="O9" s="134">
        <f>SUM(F9:N9)</f>
        <v>3224.9500000000003</v>
      </c>
      <c r="P9" s="78"/>
      <c r="R9" s="45">
        <f>O9-H9</f>
        <v>2840.8900000000003</v>
      </c>
      <c r="S9" s="4"/>
      <c r="U9">
        <f>358.32*3</f>
        <v>1074.96</v>
      </c>
      <c r="V9" s="4">
        <f t="shared" si="0"/>
        <v>4299.91</v>
      </c>
    </row>
    <row r="10" spans="2:23" x14ac:dyDescent="0.25">
      <c r="B10" s="53"/>
      <c r="C10" s="77" t="s">
        <v>85</v>
      </c>
      <c r="E10" s="52"/>
      <c r="F10" s="76">
        <v>40</v>
      </c>
      <c r="G10" s="76">
        <v>0</v>
      </c>
      <c r="H10" s="76">
        <v>475.24</v>
      </c>
      <c r="I10" s="76">
        <v>97.93</v>
      </c>
      <c r="J10" s="75">
        <v>0</v>
      </c>
      <c r="K10" s="126">
        <v>0</v>
      </c>
      <c r="L10" s="126">
        <v>0</v>
      </c>
      <c r="M10" s="126">
        <v>0</v>
      </c>
      <c r="N10" s="75">
        <v>0</v>
      </c>
      <c r="O10" s="74">
        <f>SUM(F10:N10)</f>
        <v>613.17000000000007</v>
      </c>
      <c r="P10" s="59"/>
      <c r="R10" s="45">
        <f>O10-H10</f>
        <v>137.93000000000006</v>
      </c>
      <c r="U10">
        <v>0</v>
      </c>
      <c r="V10" s="4">
        <f t="shared" si="0"/>
        <v>613.17000000000007</v>
      </c>
    </row>
    <row r="11" spans="2:23" x14ac:dyDescent="0.25">
      <c r="B11" s="53"/>
      <c r="C11" s="77" t="s">
        <v>84</v>
      </c>
      <c r="E11" s="52"/>
      <c r="F11" s="76">
        <v>494.7</v>
      </c>
      <c r="G11" s="76">
        <v>0</v>
      </c>
      <c r="H11" s="76">
        <v>0</v>
      </c>
      <c r="I11" s="76">
        <v>0</v>
      </c>
      <c r="J11" s="75">
        <v>0</v>
      </c>
      <c r="K11" s="126">
        <v>0</v>
      </c>
      <c r="L11" s="126">
        <v>494.7</v>
      </c>
      <c r="M11" s="126">
        <v>0</v>
      </c>
      <c r="N11" s="75">
        <v>494.7</v>
      </c>
      <c r="O11" s="74">
        <f t="shared" ref="O11:O13" si="2">SUM(F11:N11)</f>
        <v>1484.1</v>
      </c>
      <c r="P11" s="59"/>
      <c r="R11" s="45">
        <f>O11-H11</f>
        <v>1484.1</v>
      </c>
      <c r="S11" s="4"/>
      <c r="U11">
        <v>494.7</v>
      </c>
      <c r="V11" s="4">
        <f t="shared" si="0"/>
        <v>1978.8</v>
      </c>
    </row>
    <row r="12" spans="2:23" x14ac:dyDescent="0.25">
      <c r="B12" s="53"/>
      <c r="C12" s="77" t="s">
        <v>83</v>
      </c>
      <c r="E12" s="52"/>
      <c r="F12" s="76">
        <v>318.99</v>
      </c>
      <c r="G12" s="76">
        <v>195</v>
      </c>
      <c r="H12" s="76">
        <v>195</v>
      </c>
      <c r="I12" s="76">
        <v>336.09</v>
      </c>
      <c r="J12" s="75">
        <v>195</v>
      </c>
      <c r="K12" s="126">
        <v>132.6</v>
      </c>
      <c r="L12" s="126">
        <v>246.09</v>
      </c>
      <c r="M12" s="126">
        <v>120</v>
      </c>
      <c r="N12" s="75">
        <v>120</v>
      </c>
      <c r="O12" s="74">
        <f t="shared" si="2"/>
        <v>1858.7699999999998</v>
      </c>
      <c r="P12" s="59"/>
      <c r="R12" s="45">
        <f>O12-H12</f>
        <v>1663.7699999999998</v>
      </c>
      <c r="U12">
        <f>120*3</f>
        <v>360</v>
      </c>
      <c r="V12" s="4">
        <f t="shared" si="0"/>
        <v>2218.7699999999995</v>
      </c>
    </row>
    <row r="13" spans="2:23" x14ac:dyDescent="0.25">
      <c r="B13" s="53"/>
      <c r="C13" s="73" t="s">
        <v>82</v>
      </c>
      <c r="D13" s="43"/>
      <c r="E13" s="72"/>
      <c r="F13" s="71">
        <v>39.369999999999997</v>
      </c>
      <c r="G13" s="71">
        <v>39.369999999999997</v>
      </c>
      <c r="H13" s="71">
        <v>39.369999999999997</v>
      </c>
      <c r="I13" s="71">
        <v>87.37</v>
      </c>
      <c r="J13" s="111">
        <v>39.369999999999997</v>
      </c>
      <c r="K13" s="112">
        <v>39.369999999999997</v>
      </c>
      <c r="L13" s="126">
        <f>277.5+47.39+39.37</f>
        <v>364.26</v>
      </c>
      <c r="M13" s="126">
        <v>39.369999999999997</v>
      </c>
      <c r="N13" s="75">
        <f>4.63+39.37</f>
        <v>44</v>
      </c>
      <c r="O13" s="74">
        <f t="shared" si="2"/>
        <v>731.85</v>
      </c>
      <c r="P13" s="69"/>
      <c r="Q13" s="139"/>
      <c r="R13" s="110">
        <f>O13-H13</f>
        <v>692.48</v>
      </c>
      <c r="S13" s="4"/>
      <c r="U13">
        <f>81.31*3</f>
        <v>243.93</v>
      </c>
      <c r="V13" s="4">
        <f t="shared" si="0"/>
        <v>975.78</v>
      </c>
    </row>
    <row r="14" spans="2:23" x14ac:dyDescent="0.25">
      <c r="B14" s="53">
        <v>623</v>
      </c>
      <c r="C14" s="1" t="s">
        <v>81</v>
      </c>
      <c r="E14" s="52"/>
      <c r="F14" s="88">
        <f t="shared" ref="F14:N14" si="3">SUM(F15:F19)</f>
        <v>4502.5</v>
      </c>
      <c r="G14" s="88">
        <f t="shared" si="3"/>
        <v>3182</v>
      </c>
      <c r="H14" s="132">
        <f t="shared" si="3"/>
        <v>5407.75</v>
      </c>
      <c r="I14" s="132">
        <f t="shared" si="3"/>
        <v>7994.62</v>
      </c>
      <c r="J14" s="57">
        <f t="shared" si="3"/>
        <v>2610</v>
      </c>
      <c r="K14" s="58">
        <f t="shared" si="3"/>
        <v>1800</v>
      </c>
      <c r="L14" s="132">
        <f t="shared" si="3"/>
        <v>44490.54</v>
      </c>
      <c r="M14" s="132">
        <f t="shared" si="3"/>
        <v>400</v>
      </c>
      <c r="N14" s="35">
        <f t="shared" si="3"/>
        <v>2750</v>
      </c>
      <c r="O14" s="138">
        <f>+O15+O16+O17+O18+O19</f>
        <v>73137.41</v>
      </c>
      <c r="P14" s="137">
        <f>SUM(P15:P19)</f>
        <v>78844.3</v>
      </c>
      <c r="Q14" s="128">
        <f t="shared" ref="Q14:Q38" si="4">+O14/P14</f>
        <v>0.92761822985301412</v>
      </c>
      <c r="R14" s="162">
        <f t="shared" ref="R14:R38" si="5">P14-O14</f>
        <v>5706.8899999999994</v>
      </c>
      <c r="V14" s="2">
        <f>SUM(V15:V19)</f>
        <v>86286.89</v>
      </c>
      <c r="W14" s="2">
        <f>+P14</f>
        <v>78844.3</v>
      </c>
    </row>
    <row r="15" spans="2:23" x14ac:dyDescent="0.25">
      <c r="B15" s="53"/>
      <c r="C15" s="85" t="s">
        <v>80</v>
      </c>
      <c r="D15" s="84"/>
      <c r="E15" s="83"/>
      <c r="F15" s="136">
        <v>420</v>
      </c>
      <c r="G15" s="136">
        <v>420</v>
      </c>
      <c r="H15" s="136">
        <f>420+450</f>
        <v>870</v>
      </c>
      <c r="I15" s="136">
        <v>340</v>
      </c>
      <c r="J15" s="135">
        <v>400</v>
      </c>
      <c r="K15" s="136">
        <f>400+450</f>
        <v>850</v>
      </c>
      <c r="L15" s="81">
        <v>1590</v>
      </c>
      <c r="M15" s="136">
        <v>400</v>
      </c>
      <c r="N15" s="117">
        <f>400+450</f>
        <v>850</v>
      </c>
      <c r="O15" s="134">
        <f>SUM(F15:N15)</f>
        <v>6140</v>
      </c>
      <c r="P15" s="78">
        <v>8000</v>
      </c>
      <c r="Q15" s="54">
        <f t="shared" si="4"/>
        <v>0.76749999999999996</v>
      </c>
      <c r="R15" s="45">
        <f t="shared" si="5"/>
        <v>1860</v>
      </c>
      <c r="U15">
        <f>1200+450</f>
        <v>1650</v>
      </c>
      <c r="V15" s="4">
        <f>+O15+U15</f>
        <v>7790</v>
      </c>
    </row>
    <row r="16" spans="2:23" x14ac:dyDescent="0.25">
      <c r="B16" s="53"/>
      <c r="C16" s="77" t="s">
        <v>79</v>
      </c>
      <c r="E16" s="52"/>
      <c r="F16" s="126">
        <v>0</v>
      </c>
      <c r="G16" s="126">
        <v>0</v>
      </c>
      <c r="H16" s="126">
        <v>437.75</v>
      </c>
      <c r="I16" s="126">
        <v>1315.46</v>
      </c>
      <c r="J16" s="125">
        <v>0</v>
      </c>
      <c r="K16" s="126">
        <v>0</v>
      </c>
      <c r="L16" s="126">
        <v>783.72</v>
      </c>
      <c r="M16" s="126">
        <v>0</v>
      </c>
      <c r="N16" s="75">
        <v>0</v>
      </c>
      <c r="O16" s="74">
        <f>SUM(F16:N16)</f>
        <v>2536.9300000000003</v>
      </c>
      <c r="P16" s="59">
        <v>6000</v>
      </c>
      <c r="Q16" s="54">
        <f t="shared" si="4"/>
        <v>0.42282166666666671</v>
      </c>
      <c r="R16" s="45">
        <f t="shared" si="5"/>
        <v>3463.0699999999997</v>
      </c>
      <c r="U16">
        <v>2500</v>
      </c>
      <c r="V16" s="4">
        <f>+O16+U16</f>
        <v>5036.93</v>
      </c>
    </row>
    <row r="17" spans="2:23" x14ac:dyDescent="0.25">
      <c r="B17" s="53"/>
      <c r="C17" s="77" t="s">
        <v>78</v>
      </c>
      <c r="E17" s="52"/>
      <c r="F17" s="126">
        <v>2442.5</v>
      </c>
      <c r="G17" s="126">
        <f>1394+418+950</f>
        <v>2762</v>
      </c>
      <c r="H17" s="126">
        <f>1950+950</f>
        <v>2900</v>
      </c>
      <c r="I17" s="126">
        <v>6339.16</v>
      </c>
      <c r="J17" s="125">
        <v>950</v>
      </c>
      <c r="K17" s="126">
        <v>950</v>
      </c>
      <c r="L17" s="126">
        <f>1647-1375</f>
        <v>272</v>
      </c>
      <c r="M17" s="126">
        <v>0</v>
      </c>
      <c r="N17" s="75">
        <f>950+950</f>
        <v>1900</v>
      </c>
      <c r="O17" s="74">
        <f t="shared" ref="O17:O19" si="6">SUM(F17:N17)</f>
        <v>18515.66</v>
      </c>
      <c r="P17" s="59">
        <v>14000</v>
      </c>
      <c r="Q17" s="54">
        <f t="shared" si="4"/>
        <v>1.3225471428571429</v>
      </c>
      <c r="R17" s="45">
        <f t="shared" si="5"/>
        <v>-4515.66</v>
      </c>
      <c r="U17">
        <f>1000*3</f>
        <v>3000</v>
      </c>
      <c r="V17" s="4">
        <f>+O17+U17</f>
        <v>21515.66</v>
      </c>
    </row>
    <row r="18" spans="2:23" x14ac:dyDescent="0.25">
      <c r="B18" s="53"/>
      <c r="C18" s="77" t="s">
        <v>77</v>
      </c>
      <c r="E18" s="52"/>
      <c r="F18" s="126">
        <v>0</v>
      </c>
      <c r="G18" s="126">
        <v>0</v>
      </c>
      <c r="H18" s="126">
        <v>0</v>
      </c>
      <c r="I18" s="126">
        <v>0</v>
      </c>
      <c r="J18" s="125">
        <v>0</v>
      </c>
      <c r="K18" s="126">
        <v>0</v>
      </c>
      <c r="L18" s="126">
        <v>41844.82</v>
      </c>
      <c r="M18" s="126">
        <v>0</v>
      </c>
      <c r="N18" s="75">
        <v>0</v>
      </c>
      <c r="O18" s="74">
        <f t="shared" si="6"/>
        <v>41844.82</v>
      </c>
      <c r="P18" s="59">
        <v>47844.3</v>
      </c>
      <c r="Q18" s="54">
        <f t="shared" si="4"/>
        <v>0.8746040803188676</v>
      </c>
      <c r="R18" s="45">
        <f t="shared" si="5"/>
        <v>5999.4800000000032</v>
      </c>
      <c r="U18">
        <f>47844.3-41844.82</f>
        <v>5999.4800000000032</v>
      </c>
      <c r="V18" s="4">
        <f>+O18+U18</f>
        <v>47844.3</v>
      </c>
    </row>
    <row r="19" spans="2:23" x14ac:dyDescent="0.25">
      <c r="B19" s="53"/>
      <c r="C19" s="73" t="s">
        <v>76</v>
      </c>
      <c r="D19" s="43"/>
      <c r="E19" s="72"/>
      <c r="F19" s="112">
        <v>1640</v>
      </c>
      <c r="G19" s="112">
        <v>0</v>
      </c>
      <c r="H19" s="112">
        <v>1200</v>
      </c>
      <c r="I19" s="112">
        <v>0</v>
      </c>
      <c r="J19" s="133">
        <v>1260</v>
      </c>
      <c r="K19" s="112">
        <v>0</v>
      </c>
      <c r="L19" s="126">
        <v>0</v>
      </c>
      <c r="M19" s="126">
        <v>0</v>
      </c>
      <c r="N19" s="75">
        <v>0</v>
      </c>
      <c r="O19" s="74">
        <f t="shared" si="6"/>
        <v>4100</v>
      </c>
      <c r="P19" s="69">
        <v>3000</v>
      </c>
      <c r="Q19" s="46">
        <f t="shared" si="4"/>
        <v>1.3666666666666667</v>
      </c>
      <c r="R19" s="110">
        <f t="shared" si="5"/>
        <v>-1100</v>
      </c>
      <c r="S19" t="s">
        <v>75</v>
      </c>
      <c r="U19">
        <v>0</v>
      </c>
      <c r="V19" s="4">
        <f>+O19+U19</f>
        <v>4100</v>
      </c>
    </row>
    <row r="20" spans="2:23" x14ac:dyDescent="0.25">
      <c r="B20" s="53">
        <v>625</v>
      </c>
      <c r="C20" s="1" t="s">
        <v>74</v>
      </c>
      <c r="E20" s="52"/>
      <c r="F20" s="108">
        <f t="shared" ref="F20:N20" si="7">F21+F22+F23</f>
        <v>727.33</v>
      </c>
      <c r="G20" s="132">
        <f t="shared" si="7"/>
        <v>4563.99</v>
      </c>
      <c r="H20" s="132">
        <f t="shared" si="7"/>
        <v>0</v>
      </c>
      <c r="I20" s="132">
        <f t="shared" si="7"/>
        <v>0</v>
      </c>
      <c r="J20" s="131">
        <f t="shared" si="7"/>
        <v>4779.6100000000006</v>
      </c>
      <c r="K20" s="132">
        <f t="shared" si="7"/>
        <v>26084.75</v>
      </c>
      <c r="L20" s="132">
        <f t="shared" si="7"/>
        <v>0</v>
      </c>
      <c r="M20" s="132">
        <f t="shared" si="7"/>
        <v>0</v>
      </c>
      <c r="N20" s="151">
        <f t="shared" si="7"/>
        <v>26011.13</v>
      </c>
      <c r="O20" s="130">
        <f>+O21+O22+O23</f>
        <v>62166.810000000005</v>
      </c>
      <c r="P20" s="129">
        <f>SUM(P21:P23)</f>
        <v>77500</v>
      </c>
      <c r="Q20" s="128">
        <f t="shared" si="4"/>
        <v>0.80215238709677428</v>
      </c>
      <c r="R20" s="162">
        <f t="shared" si="5"/>
        <v>15333.189999999995</v>
      </c>
      <c r="V20" s="2">
        <f>SUM(V21:V23)</f>
        <v>68166.81</v>
      </c>
      <c r="W20" s="2">
        <f>+P20</f>
        <v>77500</v>
      </c>
    </row>
    <row r="21" spans="2:23" x14ac:dyDescent="0.25">
      <c r="B21" s="53"/>
      <c r="C21" s="85" t="s">
        <v>73</v>
      </c>
      <c r="D21" s="84"/>
      <c r="E21" s="84"/>
      <c r="F21" s="81">
        <v>0</v>
      </c>
      <c r="G21" s="82">
        <v>0</v>
      </c>
      <c r="H21" s="81">
        <v>0</v>
      </c>
      <c r="I21" s="81">
        <v>0</v>
      </c>
      <c r="J21" s="80">
        <v>0</v>
      </c>
      <c r="K21" s="81">
        <v>26084.75</v>
      </c>
      <c r="L21" s="81">
        <v>0</v>
      </c>
      <c r="M21" s="81">
        <v>0</v>
      </c>
      <c r="N21" s="147">
        <v>26011.13</v>
      </c>
      <c r="O21" s="79">
        <f t="shared" ref="O21:O26" si="8">SUM(F21:N21)</f>
        <v>52095.880000000005</v>
      </c>
      <c r="P21" s="118">
        <v>60000</v>
      </c>
      <c r="Q21" s="54">
        <f t="shared" si="4"/>
        <v>0.8682646666666668</v>
      </c>
      <c r="R21" s="45">
        <f t="shared" si="5"/>
        <v>7904.1199999999953</v>
      </c>
      <c r="U21">
        <v>0</v>
      </c>
      <c r="V21" s="4">
        <f t="shared" ref="V21:V26" si="9">+O21+U21</f>
        <v>52095.880000000005</v>
      </c>
    </row>
    <row r="22" spans="2:23" x14ac:dyDescent="0.25">
      <c r="B22" s="53"/>
      <c r="C22" s="77" t="s">
        <v>72</v>
      </c>
      <c r="E22" s="127"/>
      <c r="F22" s="126">
        <v>0</v>
      </c>
      <c r="G22" s="75">
        <v>4563.99</v>
      </c>
      <c r="H22" s="126">
        <v>0</v>
      </c>
      <c r="I22" s="126">
        <v>0</v>
      </c>
      <c r="J22" s="125">
        <v>4464.2700000000004</v>
      </c>
      <c r="K22" s="126">
        <v>0</v>
      </c>
      <c r="L22" s="126">
        <v>0</v>
      </c>
      <c r="M22" s="126">
        <v>0</v>
      </c>
      <c r="N22" s="75">
        <v>0</v>
      </c>
      <c r="O22" s="74">
        <f t="shared" si="8"/>
        <v>9028.26</v>
      </c>
      <c r="P22" s="76">
        <v>15000</v>
      </c>
      <c r="Q22" s="54">
        <f t="shared" si="4"/>
        <v>0.60188399999999997</v>
      </c>
      <c r="R22" s="45">
        <f t="shared" si="5"/>
        <v>5971.74</v>
      </c>
      <c r="U22">
        <v>5000</v>
      </c>
      <c r="V22" s="4">
        <f t="shared" si="9"/>
        <v>14028.26</v>
      </c>
    </row>
    <row r="23" spans="2:23" x14ac:dyDescent="0.25">
      <c r="B23" s="53"/>
      <c r="C23" s="73" t="s">
        <v>71</v>
      </c>
      <c r="D23" s="43"/>
      <c r="E23" s="43"/>
      <c r="F23" s="112">
        <v>727.33</v>
      </c>
      <c r="G23" s="71">
        <v>0</v>
      </c>
      <c r="H23" s="126">
        <v>0</v>
      </c>
      <c r="I23" s="126">
        <v>0</v>
      </c>
      <c r="J23" s="125">
        <v>315.33999999999997</v>
      </c>
      <c r="K23" s="126">
        <v>0</v>
      </c>
      <c r="L23" s="126">
        <v>0</v>
      </c>
      <c r="M23" s="126">
        <v>0</v>
      </c>
      <c r="N23" s="75">
        <v>0</v>
      </c>
      <c r="O23" s="74">
        <f t="shared" si="8"/>
        <v>1042.67</v>
      </c>
      <c r="P23" s="71">
        <v>2500</v>
      </c>
      <c r="Q23" s="46">
        <f t="shared" si="4"/>
        <v>0.41706800000000005</v>
      </c>
      <c r="R23" s="110">
        <f t="shared" si="5"/>
        <v>1457.33</v>
      </c>
      <c r="U23">
        <v>1000</v>
      </c>
      <c r="V23" s="4">
        <f t="shared" si="9"/>
        <v>2042.67</v>
      </c>
    </row>
    <row r="24" spans="2:23" x14ac:dyDescent="0.25">
      <c r="B24" s="53">
        <v>626</v>
      </c>
      <c r="C24" s="1" t="s">
        <v>70</v>
      </c>
      <c r="E24" s="52"/>
      <c r="F24" s="88">
        <v>433</v>
      </c>
      <c r="G24" s="57">
        <v>17</v>
      </c>
      <c r="H24" s="67">
        <v>61.93</v>
      </c>
      <c r="I24" s="67">
        <f>339.89-27</f>
        <v>312.89</v>
      </c>
      <c r="J24" s="66">
        <v>27.93</v>
      </c>
      <c r="K24" s="166">
        <v>-46.35</v>
      </c>
      <c r="L24" s="166">
        <f>498.26-415.31</f>
        <v>82.949999999999989</v>
      </c>
      <c r="M24" s="166">
        <v>0</v>
      </c>
      <c r="N24" s="152">
        <f>12+20.61+30</f>
        <v>62.61</v>
      </c>
      <c r="O24" s="124">
        <f t="shared" si="8"/>
        <v>951.95999999999992</v>
      </c>
      <c r="P24" s="123">
        <v>250</v>
      </c>
      <c r="Q24" s="54">
        <f t="shared" si="4"/>
        <v>3.8078399999999997</v>
      </c>
      <c r="R24" s="91">
        <f t="shared" si="5"/>
        <v>-701.95999999999992</v>
      </c>
      <c r="U24">
        <f>60*3</f>
        <v>180</v>
      </c>
      <c r="V24" s="2">
        <f t="shared" si="9"/>
        <v>1131.96</v>
      </c>
      <c r="W24" s="1">
        <v>250</v>
      </c>
    </row>
    <row r="25" spans="2:23" x14ac:dyDescent="0.25">
      <c r="B25" s="53">
        <v>627</v>
      </c>
      <c r="C25" s="1" t="s">
        <v>69</v>
      </c>
      <c r="E25" s="52"/>
      <c r="F25" s="88">
        <v>142</v>
      </c>
      <c r="G25" s="57">
        <v>890</v>
      </c>
      <c r="H25" s="61">
        <v>0</v>
      </c>
      <c r="I25" s="61">
        <f>390</f>
        <v>390</v>
      </c>
      <c r="J25" s="60">
        <v>0</v>
      </c>
      <c r="K25" s="61">
        <f>410+350+350+911.52</f>
        <v>2021.52</v>
      </c>
      <c r="L25" s="61">
        <v>0</v>
      </c>
      <c r="M25" s="61">
        <v>350</v>
      </c>
      <c r="N25" s="153">
        <v>350</v>
      </c>
      <c r="O25" s="56">
        <f t="shared" si="8"/>
        <v>4143.5200000000004</v>
      </c>
      <c r="P25" s="123">
        <v>8000</v>
      </c>
      <c r="Q25" s="54">
        <f t="shared" si="4"/>
        <v>0.51794000000000007</v>
      </c>
      <c r="R25" s="45">
        <f t="shared" si="5"/>
        <v>3856.4799999999996</v>
      </c>
      <c r="S25" s="23"/>
      <c r="T25" s="23"/>
      <c r="U25" s="23">
        <f>350*3</f>
        <v>1050</v>
      </c>
      <c r="V25" s="175">
        <f t="shared" si="9"/>
        <v>5193.5200000000004</v>
      </c>
      <c r="W25" s="1">
        <v>8000</v>
      </c>
    </row>
    <row r="26" spans="2:23" x14ac:dyDescent="0.25">
      <c r="B26" s="53">
        <v>628</v>
      </c>
      <c r="C26" s="1" t="s">
        <v>68</v>
      </c>
      <c r="E26" s="52"/>
      <c r="F26" s="88">
        <f>820.91+69.22+71.5</f>
        <v>961.63</v>
      </c>
      <c r="G26" s="57">
        <f>627.35+63.21</f>
        <v>690.56000000000006</v>
      </c>
      <c r="H26" s="58">
        <f>156.14+101.45</f>
        <v>257.58999999999997</v>
      </c>
      <c r="I26" s="58">
        <f>592.02-16.8</f>
        <v>575.22</v>
      </c>
      <c r="J26" s="57">
        <f>369.4+50.98</f>
        <v>420.38</v>
      </c>
      <c r="K26" s="58">
        <f>143.86+223.93</f>
        <v>367.79</v>
      </c>
      <c r="L26" s="58">
        <f>476.24+71.5</f>
        <v>547.74</v>
      </c>
      <c r="M26" s="58">
        <v>193.08</v>
      </c>
      <c r="N26" s="87">
        <f>58+346+70.44</f>
        <v>474.44</v>
      </c>
      <c r="O26" s="56">
        <f t="shared" si="8"/>
        <v>4488.4299999999994</v>
      </c>
      <c r="P26" s="123">
        <v>10000</v>
      </c>
      <c r="Q26" s="54">
        <f t="shared" si="4"/>
        <v>0.44884299999999994</v>
      </c>
      <c r="R26" s="45">
        <f t="shared" si="5"/>
        <v>5511.5700000000006</v>
      </c>
      <c r="S26" s="149"/>
      <c r="T26" s="23"/>
      <c r="U26">
        <f>(1215/3)*3</f>
        <v>1215</v>
      </c>
      <c r="V26" s="2">
        <f t="shared" si="9"/>
        <v>5703.4299999999994</v>
      </c>
      <c r="W26" s="1">
        <v>10000</v>
      </c>
    </row>
    <row r="27" spans="2:23" x14ac:dyDescent="0.25">
      <c r="B27" s="53">
        <v>629</v>
      </c>
      <c r="C27" s="1" t="s">
        <v>67</v>
      </c>
      <c r="E27" s="52"/>
      <c r="F27" s="88">
        <f t="shared" ref="F27:P27" si="10">SUM(F28:F49)</f>
        <v>4759.1299999999992</v>
      </c>
      <c r="G27" s="57">
        <f t="shared" si="10"/>
        <v>2390</v>
      </c>
      <c r="H27" s="122">
        <f t="shared" si="10"/>
        <v>1049.4000000000001</v>
      </c>
      <c r="I27" s="122">
        <f t="shared" si="10"/>
        <v>5207.329999999999</v>
      </c>
      <c r="J27" s="121">
        <f t="shared" si="10"/>
        <v>1886.12</v>
      </c>
      <c r="K27" s="122">
        <f>SUM(K28:K49)</f>
        <v>1324.4699999999998</v>
      </c>
      <c r="L27" s="122">
        <f t="shared" ref="L27:N27" si="11">SUM(L28:L49)</f>
        <v>3353.8199999999993</v>
      </c>
      <c r="M27" s="122">
        <f t="shared" si="11"/>
        <v>867.7700000000001</v>
      </c>
      <c r="N27" s="165">
        <f t="shared" si="11"/>
        <v>2215.54</v>
      </c>
      <c r="O27" s="86">
        <f>SUM(O28:O49)</f>
        <v>23053.579999999998</v>
      </c>
      <c r="P27" s="120">
        <f t="shared" si="10"/>
        <v>62700</v>
      </c>
      <c r="Q27" s="46">
        <f t="shared" si="4"/>
        <v>0.36768070175438594</v>
      </c>
      <c r="R27" s="119">
        <f t="shared" si="5"/>
        <v>39646.42</v>
      </c>
      <c r="V27" s="2">
        <f>SUM(V28:V49)</f>
        <v>52312.7</v>
      </c>
      <c r="W27" s="2">
        <f>SUM(W28:W49)</f>
        <v>62700</v>
      </c>
    </row>
    <row r="28" spans="2:23" x14ac:dyDescent="0.25">
      <c r="B28" s="53"/>
      <c r="C28" s="85" t="s">
        <v>66</v>
      </c>
      <c r="D28" s="84"/>
      <c r="E28" s="83"/>
      <c r="F28" s="118">
        <f>414.95+39</f>
        <v>453.95</v>
      </c>
      <c r="G28" s="118">
        <f>127.81+276.64+39</f>
        <v>443.45</v>
      </c>
      <c r="H28" s="118">
        <f>414.95+39</f>
        <v>453.95</v>
      </c>
      <c r="I28" s="118">
        <f>404.45+39</f>
        <v>443.45</v>
      </c>
      <c r="J28" s="117">
        <f>140.06+276.64+39</f>
        <v>455.7</v>
      </c>
      <c r="K28" s="136">
        <f>276.64+127.81+39</f>
        <v>443.45</v>
      </c>
      <c r="L28" s="126">
        <f>414.96+276.64+138.31+39</f>
        <v>868.90999999999985</v>
      </c>
      <c r="M28" s="126">
        <f>276.64+127.81+39</f>
        <v>443.45</v>
      </c>
      <c r="N28" s="75">
        <f>127.81+276.64+7+39</f>
        <v>450.45</v>
      </c>
      <c r="O28" s="113">
        <f>SUM(F28:N28)</f>
        <v>4456.7599999999993</v>
      </c>
      <c r="P28" s="116">
        <v>6200</v>
      </c>
      <c r="Q28" s="54">
        <f t="shared" si="4"/>
        <v>0.71883225806451601</v>
      </c>
      <c r="R28" s="91">
        <f t="shared" si="5"/>
        <v>1743.2400000000007</v>
      </c>
      <c r="U28" s="176">
        <f>(1780/3)*3</f>
        <v>1780</v>
      </c>
      <c r="V28" s="177">
        <f t="shared" ref="V28:V67" si="12">+O28+U28</f>
        <v>6236.7599999999993</v>
      </c>
      <c r="W28" s="178">
        <v>6200</v>
      </c>
    </row>
    <row r="29" spans="2:23" x14ac:dyDescent="0.25">
      <c r="B29" s="53"/>
      <c r="C29" s="77" t="s">
        <v>65</v>
      </c>
      <c r="E29" s="52"/>
      <c r="F29" s="76">
        <v>135.30000000000001</v>
      </c>
      <c r="G29" s="76">
        <v>585.23</v>
      </c>
      <c r="H29" s="76">
        <v>5.5</v>
      </c>
      <c r="I29" s="76">
        <v>18.96</v>
      </c>
      <c r="J29" s="75">
        <v>580.4</v>
      </c>
      <c r="K29" s="126">
        <v>4.5999999999999996</v>
      </c>
      <c r="L29" s="126">
        <v>17.010000000000002</v>
      </c>
      <c r="M29" s="126">
        <v>0</v>
      </c>
      <c r="N29" s="75">
        <v>0</v>
      </c>
      <c r="O29" s="113">
        <f>SUM(F29:N29)</f>
        <v>1346.9999999999998</v>
      </c>
      <c r="P29" s="55">
        <v>1000</v>
      </c>
      <c r="Q29" s="54">
        <f t="shared" si="4"/>
        <v>1.3469999999999998</v>
      </c>
      <c r="R29" s="45">
        <f t="shared" si="5"/>
        <v>-346.99999999999977</v>
      </c>
      <c r="U29">
        <f>149*3</f>
        <v>447</v>
      </c>
      <c r="V29" s="177">
        <f t="shared" si="12"/>
        <v>1793.9999999999998</v>
      </c>
      <c r="W29" s="178">
        <v>1000</v>
      </c>
    </row>
    <row r="30" spans="2:23" x14ac:dyDescent="0.25">
      <c r="B30" s="53"/>
      <c r="C30" s="77" t="s">
        <v>64</v>
      </c>
      <c r="E30" s="52"/>
      <c r="F30" s="76">
        <f>341.67+130.2</f>
        <v>471.87</v>
      </c>
      <c r="G30" s="76">
        <f>130.2+112.5</f>
        <v>242.7</v>
      </c>
      <c r="H30" s="76">
        <f>34.17</f>
        <v>34.17</v>
      </c>
      <c r="I30" s="76">
        <f>135+70+70</f>
        <v>275</v>
      </c>
      <c r="J30" s="75">
        <f>135+70+135</f>
        <v>340</v>
      </c>
      <c r="K30" s="126">
        <f>135+70</f>
        <v>205</v>
      </c>
      <c r="L30" s="126">
        <f>135+70</f>
        <v>205</v>
      </c>
      <c r="M30" s="126">
        <v>135</v>
      </c>
      <c r="N30" s="75">
        <f>135+70</f>
        <v>205</v>
      </c>
      <c r="O30" s="113">
        <f t="shared" ref="O30:O49" si="13">SUM(F30:N30)</f>
        <v>2113.7399999999998</v>
      </c>
      <c r="P30" s="55">
        <v>5500</v>
      </c>
      <c r="Q30" s="54">
        <f t="shared" si="4"/>
        <v>0.38431636363636362</v>
      </c>
      <c r="R30" s="45">
        <f t="shared" si="5"/>
        <v>3386.26</v>
      </c>
      <c r="U30">
        <f>205*3</f>
        <v>615</v>
      </c>
      <c r="V30" s="177">
        <f t="shared" si="12"/>
        <v>2728.74</v>
      </c>
      <c r="W30" s="178">
        <v>5500</v>
      </c>
    </row>
    <row r="31" spans="2:23" x14ac:dyDescent="0.25">
      <c r="B31" s="53"/>
      <c r="C31" s="77" t="s">
        <v>63</v>
      </c>
      <c r="E31" s="52"/>
      <c r="F31" s="76">
        <v>19.32</v>
      </c>
      <c r="G31" s="76">
        <v>0</v>
      </c>
      <c r="H31" s="76">
        <v>0</v>
      </c>
      <c r="I31" s="76">
        <v>0</v>
      </c>
      <c r="J31" s="75">
        <v>0</v>
      </c>
      <c r="K31" s="126">
        <v>0</v>
      </c>
      <c r="L31" s="126">
        <v>0</v>
      </c>
      <c r="M31" s="126">
        <v>0</v>
      </c>
      <c r="N31" s="75">
        <v>0</v>
      </c>
      <c r="O31" s="113">
        <f t="shared" si="13"/>
        <v>19.32</v>
      </c>
      <c r="P31" s="55">
        <v>500</v>
      </c>
      <c r="Q31" s="54">
        <f t="shared" si="4"/>
        <v>3.8640000000000001E-2</v>
      </c>
      <c r="R31" s="45">
        <f t="shared" si="5"/>
        <v>480.68</v>
      </c>
      <c r="U31">
        <v>0</v>
      </c>
      <c r="V31" s="177">
        <f t="shared" si="12"/>
        <v>19.32</v>
      </c>
      <c r="W31" s="178">
        <v>500</v>
      </c>
    </row>
    <row r="32" spans="2:23" x14ac:dyDescent="0.25">
      <c r="B32" s="53"/>
      <c r="C32" s="77" t="s">
        <v>62</v>
      </c>
      <c r="E32" s="52"/>
      <c r="F32" s="76">
        <f>220.92+179.59</f>
        <v>400.51</v>
      </c>
      <c r="G32" s="76">
        <f>201.13+179.59</f>
        <v>380.72</v>
      </c>
      <c r="H32" s="76">
        <f>222.9+109.22</f>
        <v>332.12</v>
      </c>
      <c r="I32" s="76">
        <f>220+249.13</f>
        <v>469.13</v>
      </c>
      <c r="J32" s="75">
        <f>+-97.99+368.28</f>
        <v>270.28999999999996</v>
      </c>
      <c r="K32" s="126">
        <v>296.20999999999998</v>
      </c>
      <c r="L32" s="126">
        <v>251.35</v>
      </c>
      <c r="M32" s="126">
        <v>279.7</v>
      </c>
      <c r="N32" s="75">
        <v>249.8</v>
      </c>
      <c r="O32" s="113">
        <f t="shared" si="13"/>
        <v>2929.83</v>
      </c>
      <c r="P32" s="55">
        <v>4000</v>
      </c>
      <c r="Q32" s="54">
        <f t="shared" si="4"/>
        <v>0.73245749999999998</v>
      </c>
      <c r="R32" s="45">
        <f t="shared" si="5"/>
        <v>1070.17</v>
      </c>
      <c r="U32">
        <f>260*3</f>
        <v>780</v>
      </c>
      <c r="V32" s="177">
        <f t="shared" si="12"/>
        <v>3709.83</v>
      </c>
      <c r="W32" s="178">
        <v>4000</v>
      </c>
    </row>
    <row r="33" spans="2:23" x14ac:dyDescent="0.25">
      <c r="B33" s="53"/>
      <c r="C33" s="77" t="s">
        <v>61</v>
      </c>
      <c r="E33" s="52"/>
      <c r="F33" s="76">
        <f>114.15+9.62+13.44</f>
        <v>137.21</v>
      </c>
      <c r="G33" s="76">
        <f>465+50.57</f>
        <v>515.57000000000005</v>
      </c>
      <c r="H33" s="76">
        <f>29.75+9.62</f>
        <v>39.369999999999997</v>
      </c>
      <c r="I33" s="76">
        <f>9.62+4.12</f>
        <v>13.739999999999998</v>
      </c>
      <c r="J33" s="75">
        <f>54.9+11.11+37.9</f>
        <v>103.91</v>
      </c>
      <c r="K33" s="126">
        <v>9.6199999999999992</v>
      </c>
      <c r="L33" s="126">
        <v>9.6199999999999992</v>
      </c>
      <c r="M33" s="126">
        <v>9.6199999999999992</v>
      </c>
      <c r="N33" s="75">
        <f>55.8+1080+6.08+9.62</f>
        <v>1151.4999999999998</v>
      </c>
      <c r="O33" s="113">
        <f t="shared" si="13"/>
        <v>1990.1599999999999</v>
      </c>
      <c r="P33" s="55">
        <v>2500</v>
      </c>
      <c r="Q33" s="54">
        <f t="shared" si="4"/>
        <v>0.79606399999999999</v>
      </c>
      <c r="R33" s="45">
        <f t="shared" si="5"/>
        <v>509.84000000000015</v>
      </c>
      <c r="U33">
        <v>300</v>
      </c>
      <c r="V33" s="177">
        <f t="shared" si="12"/>
        <v>2290.16</v>
      </c>
      <c r="W33" s="178">
        <v>2500</v>
      </c>
    </row>
    <row r="34" spans="2:23" x14ac:dyDescent="0.25">
      <c r="B34" s="53"/>
      <c r="C34" s="77" t="s">
        <v>60</v>
      </c>
      <c r="E34" s="52"/>
      <c r="F34" s="76"/>
      <c r="G34" s="76"/>
      <c r="H34" s="76"/>
      <c r="I34" s="76"/>
      <c r="J34" s="75"/>
      <c r="K34" s="126"/>
      <c r="L34" s="126"/>
      <c r="M34" s="126"/>
      <c r="N34" s="75"/>
      <c r="O34" s="113">
        <f t="shared" si="13"/>
        <v>0</v>
      </c>
      <c r="P34" s="55">
        <v>2000</v>
      </c>
      <c r="Q34" s="54">
        <f t="shared" si="4"/>
        <v>0</v>
      </c>
      <c r="R34" s="45">
        <f t="shared" si="5"/>
        <v>2000</v>
      </c>
      <c r="U34">
        <v>0</v>
      </c>
      <c r="V34" s="177">
        <f t="shared" si="12"/>
        <v>0</v>
      </c>
      <c r="W34" s="178">
        <v>2000</v>
      </c>
    </row>
    <row r="35" spans="2:23" x14ac:dyDescent="0.25">
      <c r="B35" s="53"/>
      <c r="C35" s="77" t="s">
        <v>59</v>
      </c>
      <c r="E35" s="52"/>
      <c r="F35" s="76"/>
      <c r="G35" s="76"/>
      <c r="H35" s="76"/>
      <c r="I35" s="170">
        <v>1074.3800000000001</v>
      </c>
      <c r="J35" s="75"/>
      <c r="K35" s="126"/>
      <c r="L35" s="169">
        <v>238.84</v>
      </c>
      <c r="M35" s="126"/>
      <c r="N35" s="75"/>
      <c r="O35" s="171">
        <f t="shared" si="13"/>
        <v>1313.22</v>
      </c>
      <c r="P35" s="55">
        <v>1000</v>
      </c>
      <c r="Q35" s="54">
        <f t="shared" si="4"/>
        <v>1.3132200000000001</v>
      </c>
      <c r="R35" s="45">
        <f t="shared" si="5"/>
        <v>-313.22000000000003</v>
      </c>
      <c r="U35">
        <v>0</v>
      </c>
      <c r="V35" s="177">
        <f t="shared" si="12"/>
        <v>1313.22</v>
      </c>
      <c r="W35" s="178">
        <v>1000</v>
      </c>
    </row>
    <row r="36" spans="2:23" x14ac:dyDescent="0.25">
      <c r="B36" s="53"/>
      <c r="C36" s="115" t="s">
        <v>58</v>
      </c>
      <c r="D36" s="23"/>
      <c r="E36" s="114"/>
      <c r="F36" s="76">
        <v>1693.28</v>
      </c>
      <c r="G36" s="76">
        <v>0</v>
      </c>
      <c r="H36" s="76">
        <v>0</v>
      </c>
      <c r="I36" s="76">
        <v>1693.28</v>
      </c>
      <c r="J36" s="75">
        <v>0</v>
      </c>
      <c r="K36" s="126">
        <v>0</v>
      </c>
      <c r="L36" s="126">
        <v>1693.28</v>
      </c>
      <c r="M36" s="126">
        <v>0</v>
      </c>
      <c r="N36" s="75">
        <v>0</v>
      </c>
      <c r="O36" s="113">
        <f t="shared" si="13"/>
        <v>5079.84</v>
      </c>
      <c r="P36" s="55">
        <v>6000</v>
      </c>
      <c r="Q36" s="54">
        <f t="shared" si="4"/>
        <v>0.84664000000000006</v>
      </c>
      <c r="R36" s="45">
        <f t="shared" si="5"/>
        <v>920.15999999999985</v>
      </c>
      <c r="U36">
        <v>1693.28</v>
      </c>
      <c r="V36" s="177">
        <f t="shared" si="12"/>
        <v>6773.12</v>
      </c>
      <c r="W36" s="178">
        <v>6000</v>
      </c>
    </row>
    <row r="37" spans="2:23" x14ac:dyDescent="0.25">
      <c r="B37" s="53"/>
      <c r="C37" s="77" t="s">
        <v>57</v>
      </c>
      <c r="E37" s="52"/>
      <c r="F37" s="76">
        <v>367.15</v>
      </c>
      <c r="G37" s="76">
        <v>0</v>
      </c>
      <c r="H37" s="76">
        <v>0</v>
      </c>
      <c r="I37" s="76">
        <v>0</v>
      </c>
      <c r="J37" s="75">
        <v>0</v>
      </c>
      <c r="K37" s="126">
        <v>0</v>
      </c>
      <c r="L37" s="126">
        <v>0</v>
      </c>
      <c r="M37" s="126">
        <v>0</v>
      </c>
      <c r="N37" s="75">
        <v>0</v>
      </c>
      <c r="O37" s="113">
        <f t="shared" si="13"/>
        <v>367.15</v>
      </c>
      <c r="P37" s="59">
        <v>0</v>
      </c>
      <c r="Q37" s="54" t="e">
        <f t="shared" si="4"/>
        <v>#DIV/0!</v>
      </c>
      <c r="R37" s="45">
        <f t="shared" si="5"/>
        <v>-367.15</v>
      </c>
      <c r="U37">
        <v>0</v>
      </c>
      <c r="V37" s="177">
        <f t="shared" si="12"/>
        <v>367.15</v>
      </c>
      <c r="W37" s="178">
        <v>0</v>
      </c>
    </row>
    <row r="38" spans="2:23" x14ac:dyDescent="0.25">
      <c r="B38" s="53"/>
      <c r="C38" s="77" t="s">
        <v>56</v>
      </c>
      <c r="E38" s="52"/>
      <c r="F38" s="76"/>
      <c r="G38" s="76"/>
      <c r="H38" s="76"/>
      <c r="I38" s="76"/>
      <c r="J38" s="75"/>
      <c r="K38" s="126"/>
      <c r="L38" s="126"/>
      <c r="M38" s="126"/>
      <c r="N38" s="75"/>
      <c r="O38" s="113">
        <f t="shared" si="13"/>
        <v>0</v>
      </c>
      <c r="P38" s="59">
        <v>0</v>
      </c>
      <c r="Q38" s="54" t="e">
        <f t="shared" si="4"/>
        <v>#DIV/0!</v>
      </c>
      <c r="R38" s="45">
        <f t="shared" si="5"/>
        <v>0</v>
      </c>
      <c r="U38">
        <v>0</v>
      </c>
      <c r="V38" s="177">
        <f t="shared" si="12"/>
        <v>0</v>
      </c>
      <c r="W38" s="178">
        <v>0</v>
      </c>
    </row>
    <row r="39" spans="2:23" x14ac:dyDescent="0.25">
      <c r="B39" s="53"/>
      <c r="C39" s="77" t="s">
        <v>55</v>
      </c>
      <c r="E39" s="52"/>
      <c r="F39" s="76"/>
      <c r="G39" s="76"/>
      <c r="H39" s="76"/>
      <c r="I39" s="76"/>
      <c r="J39" s="75"/>
      <c r="K39" s="126"/>
      <c r="L39" s="126"/>
      <c r="M39" s="126"/>
      <c r="N39" s="75"/>
      <c r="O39" s="113">
        <f t="shared" si="13"/>
        <v>0</v>
      </c>
      <c r="P39" s="59">
        <v>400</v>
      </c>
      <c r="Q39" s="54">
        <f t="shared" ref="Q39:Q47" si="14">+O39/P39</f>
        <v>0</v>
      </c>
      <c r="R39" s="45">
        <f>P39-O39</f>
        <v>400</v>
      </c>
      <c r="U39">
        <v>0</v>
      </c>
      <c r="V39" s="177">
        <f t="shared" si="12"/>
        <v>0</v>
      </c>
      <c r="W39" s="178">
        <v>400</v>
      </c>
    </row>
    <row r="40" spans="2:23" x14ac:dyDescent="0.25">
      <c r="B40" s="53"/>
      <c r="C40" s="77" t="s">
        <v>54</v>
      </c>
      <c r="E40" s="52"/>
      <c r="F40" s="76">
        <v>493.05</v>
      </c>
      <c r="G40" s="76">
        <v>0</v>
      </c>
      <c r="H40" s="76">
        <v>0</v>
      </c>
      <c r="I40" s="76">
        <v>0</v>
      </c>
      <c r="J40" s="75">
        <v>0</v>
      </c>
      <c r="K40" s="126">
        <v>0</v>
      </c>
      <c r="L40" s="126">
        <v>0</v>
      </c>
      <c r="M40" s="126">
        <v>0</v>
      </c>
      <c r="N40" s="75">
        <v>0</v>
      </c>
      <c r="O40" s="113">
        <f t="shared" si="13"/>
        <v>493.05</v>
      </c>
      <c r="P40" s="59">
        <v>500</v>
      </c>
      <c r="Q40" s="54">
        <f t="shared" si="14"/>
        <v>0.98609999999999998</v>
      </c>
      <c r="R40" s="45">
        <f>P40-O40</f>
        <v>6.9499999999999886</v>
      </c>
      <c r="U40">
        <v>0</v>
      </c>
      <c r="V40" s="177">
        <f t="shared" si="12"/>
        <v>493.05</v>
      </c>
      <c r="W40" s="178">
        <v>500</v>
      </c>
    </row>
    <row r="41" spans="2:23" x14ac:dyDescent="0.25">
      <c r="B41" s="53"/>
      <c r="C41" s="172" t="s">
        <v>106</v>
      </c>
      <c r="D41" s="173"/>
      <c r="E41" s="174"/>
      <c r="F41" s="76">
        <v>0</v>
      </c>
      <c r="G41" s="76">
        <v>0</v>
      </c>
      <c r="H41" s="76">
        <v>0</v>
      </c>
      <c r="I41" s="76">
        <v>0</v>
      </c>
      <c r="J41" s="75">
        <v>0</v>
      </c>
      <c r="K41" s="167">
        <v>137.81</v>
      </c>
      <c r="L41" s="167">
        <v>0</v>
      </c>
      <c r="M41" s="167">
        <v>0</v>
      </c>
      <c r="N41" s="150">
        <v>0</v>
      </c>
      <c r="O41" s="113">
        <f t="shared" si="13"/>
        <v>137.81</v>
      </c>
      <c r="P41" s="59">
        <v>0</v>
      </c>
      <c r="Q41" s="54" t="e">
        <f t="shared" si="14"/>
        <v>#DIV/0!</v>
      </c>
      <c r="R41" s="45">
        <f>P41-O41</f>
        <v>-137.81</v>
      </c>
      <c r="U41">
        <v>0</v>
      </c>
      <c r="V41" s="177">
        <f t="shared" si="12"/>
        <v>137.81</v>
      </c>
      <c r="W41" s="178">
        <v>0</v>
      </c>
    </row>
    <row r="42" spans="2:23" x14ac:dyDescent="0.25">
      <c r="B42" s="53"/>
      <c r="C42" s="77" t="s">
        <v>53</v>
      </c>
      <c r="E42" s="52"/>
      <c r="F42" s="76">
        <f>122.24+19.09</f>
        <v>141.32999999999998</v>
      </c>
      <c r="G42" s="76">
        <v>128.29</v>
      </c>
      <c r="H42" s="76">
        <v>0</v>
      </c>
      <c r="I42" s="76">
        <v>0</v>
      </c>
      <c r="J42" s="75">
        <v>0</v>
      </c>
      <c r="K42" s="126">
        <v>91.86</v>
      </c>
      <c r="L42" s="126">
        <v>0</v>
      </c>
      <c r="M42" s="126">
        <v>0</v>
      </c>
      <c r="N42" s="75">
        <v>0</v>
      </c>
      <c r="O42" s="113">
        <f t="shared" si="13"/>
        <v>361.48</v>
      </c>
      <c r="P42" s="59">
        <v>1000</v>
      </c>
      <c r="Q42" s="54">
        <f t="shared" si="14"/>
        <v>0.36148000000000002</v>
      </c>
      <c r="R42" s="45">
        <f t="shared" ref="R42:R47" si="15">P42-O42</f>
        <v>638.52</v>
      </c>
      <c r="U42">
        <f>40.16*3</f>
        <v>120.47999999999999</v>
      </c>
      <c r="V42" s="177">
        <f t="shared" si="12"/>
        <v>481.96000000000004</v>
      </c>
      <c r="W42" s="178">
        <v>1000</v>
      </c>
    </row>
    <row r="43" spans="2:23" x14ac:dyDescent="0.25">
      <c r="B43" s="53"/>
      <c r="C43" s="77" t="s">
        <v>52</v>
      </c>
      <c r="E43" s="52"/>
      <c r="F43" s="76">
        <v>94.29</v>
      </c>
      <c r="G43" s="76">
        <v>0</v>
      </c>
      <c r="H43" s="76">
        <v>0</v>
      </c>
      <c r="I43" s="76">
        <v>0</v>
      </c>
      <c r="J43" s="75">
        <v>0</v>
      </c>
      <c r="K43" s="126">
        <v>66.11</v>
      </c>
      <c r="L43" s="126">
        <v>0</v>
      </c>
      <c r="M43" s="126">
        <v>0</v>
      </c>
      <c r="N43" s="75">
        <v>0</v>
      </c>
      <c r="O43" s="113">
        <f t="shared" si="13"/>
        <v>160.4</v>
      </c>
      <c r="P43" s="59">
        <v>3000</v>
      </c>
      <c r="Q43" s="54">
        <f t="shared" si="14"/>
        <v>5.3466666666666669E-2</v>
      </c>
      <c r="R43" s="45">
        <f t="shared" si="15"/>
        <v>2839.6</v>
      </c>
      <c r="U43">
        <f>20*3</f>
        <v>60</v>
      </c>
      <c r="V43" s="177">
        <f t="shared" si="12"/>
        <v>220.4</v>
      </c>
      <c r="W43" s="178">
        <v>3000</v>
      </c>
    </row>
    <row r="44" spans="2:23" x14ac:dyDescent="0.25">
      <c r="B44" s="53"/>
      <c r="C44" s="77" t="s">
        <v>51</v>
      </c>
      <c r="E44" s="52"/>
      <c r="F44" s="76">
        <v>0</v>
      </c>
      <c r="G44" s="76">
        <v>67.36</v>
      </c>
      <c r="H44" s="76">
        <v>150.21</v>
      </c>
      <c r="I44" s="76">
        <v>54.36</v>
      </c>
      <c r="J44" s="75">
        <v>69.81</v>
      </c>
      <c r="K44" s="126">
        <v>69.81</v>
      </c>
      <c r="L44" s="126">
        <v>69.81</v>
      </c>
      <c r="M44" s="126">
        <v>0</v>
      </c>
      <c r="N44" s="75">
        <f>3.31+155.48</f>
        <v>158.79</v>
      </c>
      <c r="O44" s="113">
        <f t="shared" si="13"/>
        <v>640.15</v>
      </c>
      <c r="P44" s="59">
        <v>3500</v>
      </c>
      <c r="Q44" s="54">
        <f t="shared" si="14"/>
        <v>0.18290000000000001</v>
      </c>
      <c r="R44" s="45">
        <f t="shared" si="15"/>
        <v>2859.85</v>
      </c>
      <c r="U44">
        <f>71.12*3</f>
        <v>213.36</v>
      </c>
      <c r="V44" s="177">
        <f t="shared" si="12"/>
        <v>853.51</v>
      </c>
      <c r="W44" s="178">
        <v>3500</v>
      </c>
    </row>
    <row r="45" spans="2:23" x14ac:dyDescent="0.25">
      <c r="B45" s="53"/>
      <c r="C45" s="77" t="s">
        <v>50</v>
      </c>
      <c r="E45" s="52"/>
      <c r="F45" s="76">
        <v>97.75</v>
      </c>
      <c r="G45" s="76">
        <v>0</v>
      </c>
      <c r="H45" s="76">
        <v>0</v>
      </c>
      <c r="I45" s="76">
        <v>1135.25</v>
      </c>
      <c r="J45" s="75">
        <v>0</v>
      </c>
      <c r="K45" s="126">
        <v>0</v>
      </c>
      <c r="L45" s="126">
        <v>0</v>
      </c>
      <c r="M45" s="126">
        <v>0</v>
      </c>
      <c r="N45" s="75">
        <v>0</v>
      </c>
      <c r="O45" s="113">
        <f t="shared" si="13"/>
        <v>1233</v>
      </c>
      <c r="P45" s="59">
        <v>1500</v>
      </c>
      <c r="Q45" s="54">
        <f t="shared" si="14"/>
        <v>0.82199999999999995</v>
      </c>
      <c r="R45" s="45">
        <f t="shared" si="15"/>
        <v>267</v>
      </c>
      <c r="U45">
        <v>500</v>
      </c>
      <c r="V45" s="177">
        <f t="shared" si="12"/>
        <v>1733</v>
      </c>
      <c r="W45" s="178">
        <v>1500</v>
      </c>
    </row>
    <row r="46" spans="2:23" x14ac:dyDescent="0.25">
      <c r="B46" s="53"/>
      <c r="C46" s="77" t="s">
        <v>49</v>
      </c>
      <c r="E46" s="52"/>
      <c r="F46" s="76">
        <v>254.12</v>
      </c>
      <c r="G46" s="76">
        <v>26.68</v>
      </c>
      <c r="H46" s="76">
        <v>34.08</v>
      </c>
      <c r="I46" s="76">
        <v>29.78</v>
      </c>
      <c r="J46" s="75">
        <v>66.010000000000005</v>
      </c>
      <c r="K46" s="126">
        <v>0</v>
      </c>
      <c r="L46" s="126">
        <v>0</v>
      </c>
      <c r="M46" s="126">
        <v>0</v>
      </c>
      <c r="N46" s="75">
        <v>0</v>
      </c>
      <c r="O46" s="113">
        <f t="shared" si="13"/>
        <v>410.66999999999996</v>
      </c>
      <c r="P46" s="59">
        <v>1000</v>
      </c>
      <c r="Q46" s="54">
        <f t="shared" si="14"/>
        <v>0.41066999999999998</v>
      </c>
      <c r="R46" s="45">
        <f t="shared" si="15"/>
        <v>589.33000000000004</v>
      </c>
      <c r="U46">
        <f>50*3</f>
        <v>150</v>
      </c>
      <c r="V46" s="177">
        <f t="shared" si="12"/>
        <v>560.66999999999996</v>
      </c>
      <c r="W46" s="178">
        <v>1000</v>
      </c>
    </row>
    <row r="47" spans="2:23" x14ac:dyDescent="0.25">
      <c r="B47" s="53"/>
      <c r="C47" s="77" t="s">
        <v>48</v>
      </c>
      <c r="E47" s="52"/>
      <c r="F47" s="76"/>
      <c r="G47" s="76"/>
      <c r="H47" s="76"/>
      <c r="I47" s="76"/>
      <c r="J47" s="75"/>
      <c r="K47" s="126"/>
      <c r="L47" s="126"/>
      <c r="M47" s="126"/>
      <c r="N47" s="75"/>
      <c r="O47" s="113">
        <f t="shared" si="13"/>
        <v>0</v>
      </c>
      <c r="P47" s="59">
        <v>0</v>
      </c>
      <c r="Q47" s="54" t="e">
        <f t="shared" si="14"/>
        <v>#DIV/0!</v>
      </c>
      <c r="R47" s="45">
        <f t="shared" si="15"/>
        <v>0</v>
      </c>
      <c r="U47">
        <v>0</v>
      </c>
      <c r="V47" s="177">
        <f t="shared" si="12"/>
        <v>0</v>
      </c>
      <c r="W47" s="178">
        <v>0</v>
      </c>
    </row>
    <row r="48" spans="2:23" x14ac:dyDescent="0.25">
      <c r="B48" s="53"/>
      <c r="C48" s="77" t="s">
        <v>47</v>
      </c>
      <c r="E48" s="52"/>
      <c r="F48" s="76"/>
      <c r="G48" s="76"/>
      <c r="H48" s="76"/>
      <c r="I48" s="76"/>
      <c r="J48" s="75"/>
      <c r="K48" s="126"/>
      <c r="L48" s="126"/>
      <c r="M48" s="126"/>
      <c r="N48" s="75"/>
      <c r="O48" s="113">
        <f t="shared" si="13"/>
        <v>0</v>
      </c>
      <c r="P48" s="59">
        <v>22600</v>
      </c>
      <c r="Q48" s="54">
        <f t="shared" ref="Q48:Q55" si="16">+O48/P48</f>
        <v>0</v>
      </c>
      <c r="R48" s="45">
        <f t="shared" ref="R48:R55" si="17">P48-O48</f>
        <v>22600</v>
      </c>
      <c r="U48">
        <v>22600</v>
      </c>
      <c r="V48" s="177">
        <f t="shared" si="12"/>
        <v>22600</v>
      </c>
      <c r="W48" s="178">
        <v>22600</v>
      </c>
    </row>
    <row r="49" spans="2:23" x14ac:dyDescent="0.25">
      <c r="B49" s="53"/>
      <c r="C49" s="73" t="s">
        <v>46</v>
      </c>
      <c r="D49" s="43"/>
      <c r="E49" s="72"/>
      <c r="F49" s="71"/>
      <c r="G49" s="112"/>
      <c r="H49" s="71"/>
      <c r="I49" s="71"/>
      <c r="J49" s="111"/>
      <c r="K49" s="112"/>
      <c r="L49" s="112"/>
      <c r="M49" s="112"/>
      <c r="N49" s="111"/>
      <c r="O49" s="158">
        <f t="shared" si="13"/>
        <v>0</v>
      </c>
      <c r="P49" s="69">
        <v>500</v>
      </c>
      <c r="Q49" s="46">
        <f t="shared" si="16"/>
        <v>0</v>
      </c>
      <c r="R49" s="110">
        <f t="shared" si="17"/>
        <v>500</v>
      </c>
      <c r="U49">
        <v>0</v>
      </c>
      <c r="V49" s="177">
        <f t="shared" si="12"/>
        <v>0</v>
      </c>
      <c r="W49" s="178">
        <v>500</v>
      </c>
    </row>
    <row r="50" spans="2:23" x14ac:dyDescent="0.25">
      <c r="B50" s="53">
        <v>631</v>
      </c>
      <c r="C50" s="1" t="s">
        <v>45</v>
      </c>
      <c r="E50" s="109"/>
      <c r="F50" s="88">
        <f>16.16</f>
        <v>16.16</v>
      </c>
      <c r="G50" s="108">
        <v>14</v>
      </c>
      <c r="H50" s="58">
        <v>0</v>
      </c>
      <c r="I50" s="58">
        <v>8.9600000000000009</v>
      </c>
      <c r="J50" s="57">
        <v>0</v>
      </c>
      <c r="K50" s="58">
        <v>1496.05</v>
      </c>
      <c r="L50" s="58">
        <v>879.76</v>
      </c>
      <c r="M50" s="58">
        <v>0</v>
      </c>
      <c r="N50" s="87">
        <v>0</v>
      </c>
      <c r="O50" s="89">
        <f>SUM(F50:N50)</f>
        <v>2414.9300000000003</v>
      </c>
      <c r="P50" s="59">
        <v>4500</v>
      </c>
      <c r="Q50" s="54">
        <f t="shared" si="16"/>
        <v>0.53665111111111119</v>
      </c>
      <c r="R50" s="45">
        <f t="shared" si="17"/>
        <v>2085.0699999999997</v>
      </c>
      <c r="U50" s="1">
        <v>1000</v>
      </c>
      <c r="V50" s="2">
        <f t="shared" si="12"/>
        <v>3414.9300000000003</v>
      </c>
      <c r="W50" s="1">
        <v>4500</v>
      </c>
    </row>
    <row r="51" spans="2:23" x14ac:dyDescent="0.25">
      <c r="B51" s="53">
        <v>634</v>
      </c>
      <c r="C51" s="1" t="s">
        <v>44</v>
      </c>
      <c r="E51" s="109"/>
      <c r="F51" s="88">
        <v>0</v>
      </c>
      <c r="G51" s="88">
        <v>0</v>
      </c>
      <c r="H51" s="88">
        <v>3500.13</v>
      </c>
      <c r="I51" s="88">
        <v>0</v>
      </c>
      <c r="J51" s="87">
        <v>0</v>
      </c>
      <c r="K51" s="58">
        <v>3037.86</v>
      </c>
      <c r="L51" s="58">
        <v>0</v>
      </c>
      <c r="M51" s="58">
        <v>0</v>
      </c>
      <c r="N51" s="156">
        <v>3000</v>
      </c>
      <c r="O51" s="89">
        <f>SUM(F51:N51)</f>
        <v>9537.99</v>
      </c>
      <c r="P51" s="59">
        <v>12000</v>
      </c>
      <c r="Q51" s="54">
        <f t="shared" si="16"/>
        <v>0.79483249999999994</v>
      </c>
      <c r="R51" s="45">
        <f t="shared" si="17"/>
        <v>2462.0100000000002</v>
      </c>
      <c r="U51" s="1">
        <v>3000</v>
      </c>
      <c r="V51" s="1">
        <f t="shared" si="12"/>
        <v>12537.99</v>
      </c>
      <c r="W51" s="1">
        <v>12000</v>
      </c>
    </row>
    <row r="52" spans="2:23" x14ac:dyDescent="0.25">
      <c r="B52" s="53">
        <v>640</v>
      </c>
      <c r="C52" s="1" t="s">
        <v>43</v>
      </c>
      <c r="E52" s="52"/>
      <c r="F52" s="88">
        <f>1988.25+2903.97+1292.72+2236.93</f>
        <v>8421.869999999999</v>
      </c>
      <c r="G52" s="108">
        <f>1988.25+2903.97+1768.85+2236.93</f>
        <v>8898</v>
      </c>
      <c r="H52" s="58">
        <f>3976.5+5807.94+2293.37+4473.86</f>
        <v>16551.669999999998</v>
      </c>
      <c r="I52" s="58">
        <f>1988.25+2903.97+1618.85+2236.93</f>
        <v>8748</v>
      </c>
      <c r="J52" s="57">
        <f>1988.25+5044.92+1618.85+2236.93</f>
        <v>10888.95</v>
      </c>
      <c r="K52" s="58">
        <v>11688.06</v>
      </c>
      <c r="L52" s="58">
        <v>5844.03</v>
      </c>
      <c r="M52" s="58">
        <v>5844.03</v>
      </c>
      <c r="N52" s="87">
        <f>1988.25+1618.85+2481.93</f>
        <v>6089.03</v>
      </c>
      <c r="O52" s="89">
        <f t="shared" ref="O52:O67" si="18">SUM(F52:N52)</f>
        <v>82973.639999999985</v>
      </c>
      <c r="P52" s="59">
        <v>106100</v>
      </c>
      <c r="Q52" s="54">
        <f t="shared" si="16"/>
        <v>0.78203242224316671</v>
      </c>
      <c r="R52" s="45">
        <f t="shared" si="17"/>
        <v>23126.360000000015</v>
      </c>
      <c r="U52" s="180">
        <f>6000*4</f>
        <v>24000</v>
      </c>
      <c r="V52" s="1">
        <f t="shared" si="12"/>
        <v>106973.63999999998</v>
      </c>
      <c r="W52" s="1">
        <v>106100</v>
      </c>
    </row>
    <row r="53" spans="2:23" x14ac:dyDescent="0.25">
      <c r="B53" s="53">
        <v>641</v>
      </c>
      <c r="C53" s="1" t="s">
        <v>42</v>
      </c>
      <c r="E53" s="52"/>
      <c r="F53" s="88">
        <v>0</v>
      </c>
      <c r="G53" s="108">
        <v>0</v>
      </c>
      <c r="H53" s="58">
        <v>0</v>
      </c>
      <c r="I53" s="58">
        <v>0</v>
      </c>
      <c r="J53" s="57">
        <v>43214</v>
      </c>
      <c r="K53" s="58">
        <v>0</v>
      </c>
      <c r="L53" s="58">
        <v>0</v>
      </c>
      <c r="M53" s="58">
        <v>0</v>
      </c>
      <c r="N53" s="87">
        <v>0</v>
      </c>
      <c r="O53" s="89">
        <f t="shared" si="18"/>
        <v>43214</v>
      </c>
      <c r="P53" s="59">
        <v>43214</v>
      </c>
      <c r="Q53" s="54">
        <f t="shared" si="16"/>
        <v>1</v>
      </c>
      <c r="R53" s="45">
        <f t="shared" si="17"/>
        <v>0</v>
      </c>
      <c r="U53" s="1">
        <v>0</v>
      </c>
      <c r="V53" s="1">
        <f t="shared" si="12"/>
        <v>43214</v>
      </c>
      <c r="W53" s="1">
        <v>43214</v>
      </c>
    </row>
    <row r="54" spans="2:23" x14ac:dyDescent="0.25">
      <c r="B54" s="53">
        <v>642</v>
      </c>
      <c r="C54" s="1" t="s">
        <v>41</v>
      </c>
      <c r="E54" s="52"/>
      <c r="F54" s="88">
        <v>3030.15</v>
      </c>
      <c r="G54" s="108">
        <v>3339.43</v>
      </c>
      <c r="H54" s="58">
        <v>3091.81</v>
      </c>
      <c r="I54" s="58">
        <v>3091.81</v>
      </c>
      <c r="J54" s="57">
        <v>2588.61</v>
      </c>
      <c r="K54" s="61">
        <v>1946.56</v>
      </c>
      <c r="L54" s="61">
        <v>1946.56</v>
      </c>
      <c r="M54" s="61">
        <v>1946.56</v>
      </c>
      <c r="N54" s="156">
        <v>2023.86</v>
      </c>
      <c r="O54" s="89">
        <f t="shared" si="18"/>
        <v>23005.350000000002</v>
      </c>
      <c r="P54" s="59">
        <v>28800</v>
      </c>
      <c r="Q54" s="54">
        <f t="shared" si="16"/>
        <v>0.79879687500000007</v>
      </c>
      <c r="R54" s="45">
        <f t="shared" si="17"/>
        <v>5794.6499999999978</v>
      </c>
      <c r="U54" s="1">
        <f>2000*3</f>
        <v>6000</v>
      </c>
      <c r="V54" s="1">
        <f t="shared" si="12"/>
        <v>29005.350000000002</v>
      </c>
      <c r="W54" s="1">
        <v>28800</v>
      </c>
    </row>
    <row r="55" spans="2:23" x14ac:dyDescent="0.25">
      <c r="B55" s="53">
        <v>649</v>
      </c>
      <c r="C55" s="1" t="s">
        <v>40</v>
      </c>
      <c r="E55" s="52"/>
      <c r="F55" s="88"/>
      <c r="G55" s="108"/>
      <c r="H55" s="58"/>
      <c r="I55" s="58"/>
      <c r="J55" s="57"/>
      <c r="K55" s="58"/>
      <c r="L55" s="58"/>
      <c r="M55" s="58"/>
      <c r="N55" s="87"/>
      <c r="O55" s="89">
        <f t="shared" si="18"/>
        <v>0</v>
      </c>
      <c r="P55" s="59">
        <v>0</v>
      </c>
      <c r="Q55" s="54" t="e">
        <f t="shared" si="16"/>
        <v>#DIV/0!</v>
      </c>
      <c r="R55" s="45">
        <f t="shared" si="17"/>
        <v>0</v>
      </c>
      <c r="U55" s="1">
        <v>0</v>
      </c>
      <c r="V55" s="1">
        <f t="shared" si="12"/>
        <v>0</v>
      </c>
      <c r="W55" s="1">
        <v>0</v>
      </c>
    </row>
    <row r="56" spans="2:23" x14ac:dyDescent="0.25">
      <c r="B56" s="53">
        <v>650</v>
      </c>
      <c r="C56" s="1" t="s">
        <v>39</v>
      </c>
      <c r="E56" s="52"/>
      <c r="F56" s="88">
        <v>0</v>
      </c>
      <c r="G56" s="108">
        <v>0</v>
      </c>
      <c r="H56" s="58">
        <v>0</v>
      </c>
      <c r="I56" s="58">
        <v>0</v>
      </c>
      <c r="J56" s="57">
        <v>0</v>
      </c>
      <c r="K56" s="58">
        <v>280.22000000000003</v>
      </c>
      <c r="L56" s="58">
        <v>0</v>
      </c>
      <c r="M56" s="58">
        <v>0</v>
      </c>
      <c r="N56" s="87">
        <v>0</v>
      </c>
      <c r="O56" s="89">
        <f t="shared" si="18"/>
        <v>280.22000000000003</v>
      </c>
      <c r="P56" s="59">
        <v>5000</v>
      </c>
      <c r="Q56" s="54">
        <f t="shared" ref="Q56:Q62" si="19">+O56/P56</f>
        <v>5.6044000000000004E-2</v>
      </c>
      <c r="R56" s="45">
        <f t="shared" ref="R56:R62" si="20">P56-O56</f>
        <v>4719.78</v>
      </c>
      <c r="U56" s="1">
        <v>500</v>
      </c>
      <c r="V56" s="1">
        <f t="shared" si="12"/>
        <v>780.22</v>
      </c>
      <c r="W56" s="1">
        <v>5000</v>
      </c>
    </row>
    <row r="57" spans="2:23" x14ac:dyDescent="0.25">
      <c r="B57" s="53">
        <v>650</v>
      </c>
      <c r="C57" s="1" t="s">
        <v>38</v>
      </c>
      <c r="E57" s="52"/>
      <c r="F57" s="88"/>
      <c r="G57" s="108"/>
      <c r="H57" s="58"/>
      <c r="I57" s="58"/>
      <c r="J57" s="57"/>
      <c r="K57" s="58"/>
      <c r="L57" s="58"/>
      <c r="M57" s="58"/>
      <c r="N57" s="87"/>
      <c r="O57" s="89">
        <f t="shared" si="18"/>
        <v>0</v>
      </c>
      <c r="P57" s="59">
        <v>500</v>
      </c>
      <c r="Q57" s="54">
        <f t="shared" si="19"/>
        <v>0</v>
      </c>
      <c r="R57" s="45">
        <f t="shared" si="20"/>
        <v>500</v>
      </c>
      <c r="U57" s="1">
        <v>500</v>
      </c>
      <c r="V57" s="1">
        <f t="shared" si="12"/>
        <v>500</v>
      </c>
      <c r="W57" s="1">
        <v>500</v>
      </c>
    </row>
    <row r="58" spans="2:23" x14ac:dyDescent="0.25">
      <c r="B58" s="53">
        <v>650</v>
      </c>
      <c r="C58" s="1" t="s">
        <v>37</v>
      </c>
      <c r="E58" s="52"/>
      <c r="F58" s="88">
        <v>0</v>
      </c>
      <c r="G58" s="108">
        <v>0</v>
      </c>
      <c r="H58" s="58">
        <v>0</v>
      </c>
      <c r="I58" s="58">
        <v>0</v>
      </c>
      <c r="J58" s="57">
        <v>180</v>
      </c>
      <c r="K58" s="58">
        <v>0</v>
      </c>
      <c r="L58" s="58">
        <v>0</v>
      </c>
      <c r="M58" s="58">
        <v>0</v>
      </c>
      <c r="N58" s="87">
        <v>0</v>
      </c>
      <c r="O58" s="89">
        <f t="shared" si="18"/>
        <v>180</v>
      </c>
      <c r="P58" s="59">
        <v>1000</v>
      </c>
      <c r="Q58" s="54">
        <f t="shared" si="19"/>
        <v>0.18</v>
      </c>
      <c r="R58" s="45">
        <f t="shared" si="20"/>
        <v>820</v>
      </c>
      <c r="U58" s="1">
        <v>300</v>
      </c>
      <c r="V58" s="1">
        <f t="shared" si="12"/>
        <v>480</v>
      </c>
      <c r="W58" s="1">
        <v>1000</v>
      </c>
    </row>
    <row r="59" spans="2:23" x14ac:dyDescent="0.25">
      <c r="B59" s="53">
        <v>655</v>
      </c>
      <c r="C59" s="1" t="s">
        <v>36</v>
      </c>
      <c r="E59" s="52"/>
      <c r="F59" s="88">
        <v>0</v>
      </c>
      <c r="G59" s="108">
        <v>0</v>
      </c>
      <c r="H59" s="58">
        <v>0</v>
      </c>
      <c r="I59" s="61">
        <v>45</v>
      </c>
      <c r="J59" s="60">
        <v>0</v>
      </c>
      <c r="K59" s="61">
        <v>0</v>
      </c>
      <c r="L59" s="61">
        <v>0</v>
      </c>
      <c r="M59" s="61">
        <v>0</v>
      </c>
      <c r="N59" s="153">
        <v>0</v>
      </c>
      <c r="O59" s="89">
        <f t="shared" si="18"/>
        <v>45</v>
      </c>
      <c r="P59" s="59">
        <v>1000</v>
      </c>
      <c r="Q59" s="54">
        <f t="shared" si="19"/>
        <v>4.4999999999999998E-2</v>
      </c>
      <c r="R59" s="45">
        <f t="shared" si="20"/>
        <v>955</v>
      </c>
      <c r="U59" s="1">
        <v>300</v>
      </c>
      <c r="V59" s="1">
        <f t="shared" si="12"/>
        <v>345</v>
      </c>
      <c r="W59" s="1">
        <v>1000</v>
      </c>
    </row>
    <row r="60" spans="2:23" x14ac:dyDescent="0.25">
      <c r="B60" s="53">
        <v>663</v>
      </c>
      <c r="C60" s="1" t="s">
        <v>35</v>
      </c>
      <c r="E60" s="52"/>
      <c r="F60" s="88">
        <v>0</v>
      </c>
      <c r="G60" s="108">
        <v>0</v>
      </c>
      <c r="H60" s="58">
        <v>0</v>
      </c>
      <c r="I60" s="58">
        <v>0</v>
      </c>
      <c r="J60" s="57">
        <v>0</v>
      </c>
      <c r="K60" s="61">
        <v>1330.31</v>
      </c>
      <c r="L60" s="61">
        <v>0</v>
      </c>
      <c r="M60" s="61">
        <v>0</v>
      </c>
      <c r="N60" s="153">
        <v>0</v>
      </c>
      <c r="O60" s="89">
        <f t="shared" si="18"/>
        <v>1330.31</v>
      </c>
      <c r="P60" s="59">
        <v>0</v>
      </c>
      <c r="Q60" s="54" t="e">
        <f t="shared" si="19"/>
        <v>#DIV/0!</v>
      </c>
      <c r="R60" s="45">
        <f t="shared" si="20"/>
        <v>-1330.31</v>
      </c>
      <c r="U60" s="1">
        <f>200*3</f>
        <v>600</v>
      </c>
      <c r="V60" s="1">
        <f t="shared" si="12"/>
        <v>1930.31</v>
      </c>
      <c r="W60" s="1">
        <v>0</v>
      </c>
    </row>
    <row r="61" spans="2:23" x14ac:dyDescent="0.25">
      <c r="B61" s="53">
        <v>663</v>
      </c>
      <c r="C61" s="1" t="s">
        <v>34</v>
      </c>
      <c r="E61" s="52"/>
      <c r="F61" s="64">
        <v>0</v>
      </c>
      <c r="G61" s="64">
        <v>0</v>
      </c>
      <c r="H61" s="64">
        <v>0</v>
      </c>
      <c r="I61" s="64">
        <v>0</v>
      </c>
      <c r="J61" s="63">
        <v>2425.8200000000002</v>
      </c>
      <c r="K61" s="64">
        <v>-2319.81</v>
      </c>
      <c r="L61" s="64">
        <v>0</v>
      </c>
      <c r="M61" s="64">
        <v>0</v>
      </c>
      <c r="N61" s="64">
        <f>3751.79-106.01</f>
        <v>3645.7799999999997</v>
      </c>
      <c r="O61" s="89">
        <f t="shared" si="18"/>
        <v>3751.79</v>
      </c>
      <c r="P61" s="59">
        <v>0</v>
      </c>
      <c r="Q61" s="54" t="e">
        <f t="shared" si="19"/>
        <v>#DIV/0!</v>
      </c>
      <c r="R61" s="45">
        <f t="shared" si="20"/>
        <v>-3751.79</v>
      </c>
      <c r="S61" t="s">
        <v>33</v>
      </c>
      <c r="U61" s="1">
        <v>2000</v>
      </c>
      <c r="V61" s="1">
        <f t="shared" si="12"/>
        <v>5751.79</v>
      </c>
      <c r="W61" s="1">
        <v>0</v>
      </c>
    </row>
    <row r="62" spans="2:23" x14ac:dyDescent="0.25">
      <c r="B62" s="53">
        <v>663</v>
      </c>
      <c r="C62" s="1" t="s">
        <v>32</v>
      </c>
      <c r="E62" s="52"/>
      <c r="F62" s="88"/>
      <c r="G62" s="108"/>
      <c r="H62" s="58"/>
      <c r="I62" s="58"/>
      <c r="J62" s="57"/>
      <c r="K62" s="58"/>
      <c r="L62" s="58"/>
      <c r="M62" s="58"/>
      <c r="N62" s="87"/>
      <c r="O62" s="89">
        <f t="shared" si="18"/>
        <v>0</v>
      </c>
      <c r="P62" s="59">
        <v>0</v>
      </c>
      <c r="Q62" s="54" t="e">
        <f t="shared" si="19"/>
        <v>#DIV/0!</v>
      </c>
      <c r="R62" s="45">
        <f t="shared" si="20"/>
        <v>0</v>
      </c>
      <c r="U62" s="1">
        <v>0</v>
      </c>
      <c r="V62" s="1">
        <f t="shared" si="12"/>
        <v>0</v>
      </c>
      <c r="W62" s="1">
        <v>0</v>
      </c>
    </row>
    <row r="63" spans="2:23" x14ac:dyDescent="0.25">
      <c r="B63" s="53">
        <v>669</v>
      </c>
      <c r="C63" s="1" t="s">
        <v>31</v>
      </c>
      <c r="E63" s="52"/>
      <c r="F63" s="88">
        <v>0.4</v>
      </c>
      <c r="G63" s="108">
        <v>0.1</v>
      </c>
      <c r="H63" s="58">
        <v>0</v>
      </c>
      <c r="I63" s="58">
        <v>13</v>
      </c>
      <c r="J63" s="57">
        <v>0.6</v>
      </c>
      <c r="K63" s="58">
        <v>0</v>
      </c>
      <c r="L63" s="58">
        <v>0</v>
      </c>
      <c r="M63" s="58">
        <v>0</v>
      </c>
      <c r="N63" s="87">
        <v>0</v>
      </c>
      <c r="O63" s="89">
        <f t="shared" si="18"/>
        <v>14.1</v>
      </c>
      <c r="P63" s="59">
        <v>250</v>
      </c>
      <c r="Q63" s="54">
        <f>+O63/P63</f>
        <v>5.6399999999999999E-2</v>
      </c>
      <c r="R63" s="45">
        <f>P63-O63</f>
        <v>235.9</v>
      </c>
      <c r="U63" s="1">
        <v>25</v>
      </c>
      <c r="V63" s="1">
        <f t="shared" si="12"/>
        <v>39.1</v>
      </c>
      <c r="W63" s="1">
        <v>250</v>
      </c>
    </row>
    <row r="64" spans="2:23" x14ac:dyDescent="0.25">
      <c r="B64" s="53">
        <v>678</v>
      </c>
      <c r="C64" s="1" t="s">
        <v>30</v>
      </c>
      <c r="E64" s="52"/>
      <c r="F64" s="88">
        <v>0</v>
      </c>
      <c r="G64" s="108">
        <v>0</v>
      </c>
      <c r="H64" s="58">
        <v>0</v>
      </c>
      <c r="I64" s="58">
        <v>1371.47</v>
      </c>
      <c r="J64" s="57">
        <v>0</v>
      </c>
      <c r="K64" s="58">
        <v>1368.76</v>
      </c>
      <c r="L64" s="58">
        <v>0</v>
      </c>
      <c r="M64" s="58">
        <v>634.26</v>
      </c>
      <c r="N64" s="87">
        <v>0</v>
      </c>
      <c r="O64" s="89">
        <f t="shared" si="18"/>
        <v>3374.49</v>
      </c>
      <c r="P64" s="59">
        <v>0</v>
      </c>
      <c r="Q64" s="54" t="e">
        <f>+O64/P64</f>
        <v>#DIV/0!</v>
      </c>
      <c r="R64" s="45">
        <f>P64-O64</f>
        <v>-3374.49</v>
      </c>
      <c r="S64" t="s">
        <v>100</v>
      </c>
      <c r="U64" s="1">
        <v>1000</v>
      </c>
      <c r="V64" s="1">
        <f t="shared" si="12"/>
        <v>4374.49</v>
      </c>
      <c r="W64" s="1">
        <v>0</v>
      </c>
    </row>
    <row r="65" spans="1:23" x14ac:dyDescent="0.25">
      <c r="B65" s="53">
        <v>680</v>
      </c>
      <c r="C65" s="1" t="s">
        <v>29</v>
      </c>
      <c r="E65" s="52"/>
      <c r="F65" s="106">
        <v>250</v>
      </c>
      <c r="G65" s="107">
        <v>250</v>
      </c>
      <c r="H65" s="64">
        <v>250</v>
      </c>
      <c r="I65" s="64">
        <v>250</v>
      </c>
      <c r="J65" s="63">
        <v>250</v>
      </c>
      <c r="K65" s="64">
        <v>250</v>
      </c>
      <c r="L65" s="64">
        <v>250</v>
      </c>
      <c r="M65" s="64">
        <v>250</v>
      </c>
      <c r="N65" s="105">
        <v>250</v>
      </c>
      <c r="O65" s="89">
        <f t="shared" si="18"/>
        <v>2250</v>
      </c>
      <c r="P65" s="59">
        <v>3000</v>
      </c>
      <c r="Q65" s="54">
        <f>+O65/P65</f>
        <v>0.75</v>
      </c>
      <c r="R65" s="45">
        <f>P65-O65</f>
        <v>750</v>
      </c>
      <c r="S65" t="s">
        <v>26</v>
      </c>
      <c r="U65" s="1">
        <f>250*3</f>
        <v>750</v>
      </c>
      <c r="V65" s="1">
        <f t="shared" si="12"/>
        <v>3000</v>
      </c>
      <c r="W65" s="1">
        <v>3000</v>
      </c>
    </row>
    <row r="66" spans="1:23" x14ac:dyDescent="0.25">
      <c r="B66" s="53">
        <v>681</v>
      </c>
      <c r="C66" s="1" t="s">
        <v>28</v>
      </c>
      <c r="E66" s="52"/>
      <c r="F66" s="106">
        <v>1000</v>
      </c>
      <c r="G66" s="107">
        <v>1000</v>
      </c>
      <c r="H66" s="64">
        <v>1000</v>
      </c>
      <c r="I66" s="64">
        <v>1000</v>
      </c>
      <c r="J66" s="63">
        <v>1000</v>
      </c>
      <c r="K66" s="64">
        <v>1000</v>
      </c>
      <c r="L66" s="64">
        <v>1000</v>
      </c>
      <c r="M66" s="64">
        <v>1000</v>
      </c>
      <c r="N66" s="105">
        <v>1000</v>
      </c>
      <c r="O66" s="89">
        <f t="shared" si="18"/>
        <v>9000</v>
      </c>
      <c r="P66" s="59">
        <v>12000</v>
      </c>
      <c r="Q66" s="54">
        <f>+O66/P66</f>
        <v>0.75</v>
      </c>
      <c r="R66" s="45">
        <f>P66-O66</f>
        <v>3000</v>
      </c>
      <c r="S66" t="s">
        <v>26</v>
      </c>
      <c r="U66" s="1">
        <f>1000*3</f>
        <v>3000</v>
      </c>
      <c r="V66" s="1">
        <f t="shared" si="12"/>
        <v>12000</v>
      </c>
      <c r="W66" s="1">
        <v>12000</v>
      </c>
    </row>
    <row r="67" spans="1:23" x14ac:dyDescent="0.25">
      <c r="B67" s="53">
        <v>690</v>
      </c>
      <c r="C67" s="1" t="s">
        <v>27</v>
      </c>
      <c r="E67" s="52"/>
      <c r="F67" s="106">
        <v>666.66666666666663</v>
      </c>
      <c r="G67" s="106">
        <v>666.67</v>
      </c>
      <c r="H67" s="106">
        <v>666.67</v>
      </c>
      <c r="I67" s="106">
        <v>666.67</v>
      </c>
      <c r="J67" s="105">
        <v>666.67</v>
      </c>
      <c r="K67" s="64">
        <v>666.67</v>
      </c>
      <c r="L67" s="64">
        <v>666.67</v>
      </c>
      <c r="M67" s="64">
        <v>666.67</v>
      </c>
      <c r="N67" s="105">
        <v>666.67</v>
      </c>
      <c r="O67" s="89">
        <f t="shared" si="18"/>
        <v>6000.0266666666666</v>
      </c>
      <c r="P67" s="59">
        <v>8000</v>
      </c>
      <c r="Q67" s="54">
        <f>+O67/P67</f>
        <v>0.75000333333333336</v>
      </c>
      <c r="R67" s="45">
        <f>P67-O67</f>
        <v>1999.9733333333334</v>
      </c>
      <c r="S67" t="s">
        <v>26</v>
      </c>
      <c r="U67" s="1">
        <f>666.67*3</f>
        <v>2000.0099999999998</v>
      </c>
      <c r="V67" s="1">
        <f t="shared" si="12"/>
        <v>8000.0366666666669</v>
      </c>
      <c r="W67" s="1">
        <v>8000</v>
      </c>
    </row>
    <row r="68" spans="1:23" x14ac:dyDescent="0.25">
      <c r="B68" s="44"/>
      <c r="C68" s="43"/>
      <c r="D68" s="43"/>
      <c r="E68" s="52"/>
      <c r="F68" s="104"/>
      <c r="G68" s="18"/>
      <c r="H68" s="103"/>
      <c r="I68" s="103"/>
      <c r="J68" s="102"/>
      <c r="K68" s="168"/>
      <c r="L68" s="168"/>
      <c r="M68" s="168"/>
      <c r="N68" s="154"/>
      <c r="O68" s="101"/>
      <c r="P68" s="69"/>
      <c r="Q68" s="54"/>
      <c r="R68" s="45"/>
    </row>
    <row r="69" spans="1:23" ht="15.75" thickBot="1" x14ac:dyDescent="0.3">
      <c r="B69" s="44"/>
      <c r="C69" s="43"/>
      <c r="D69" s="43"/>
      <c r="E69" s="42" t="s">
        <v>25</v>
      </c>
      <c r="F69" s="100">
        <f t="shared" ref="F69:N69" si="21">+F7+F8+F14+F20+F24+F25+F26+F27+F50+F51+F52+F53+F54+F55+F56+F57+F58+F59+F60+F61+F62+F63+F64+F65+F66+F67</f>
        <v>26375.276666666668</v>
      </c>
      <c r="G69" s="100">
        <f t="shared" si="21"/>
        <v>26328.949999999997</v>
      </c>
      <c r="H69" s="100">
        <f t="shared" si="21"/>
        <v>32930.620000000003</v>
      </c>
      <c r="I69" s="100">
        <f t="shared" si="21"/>
        <v>30669.42</v>
      </c>
      <c r="J69" s="99">
        <f t="shared" si="21"/>
        <v>71946.260000000009</v>
      </c>
      <c r="K69" s="99">
        <f t="shared" si="21"/>
        <v>53017.03</v>
      </c>
      <c r="L69" s="99">
        <f t="shared" si="21"/>
        <v>60601.679999999993</v>
      </c>
      <c r="M69" s="99">
        <f t="shared" si="21"/>
        <v>12696.179999999998</v>
      </c>
      <c r="N69" s="99">
        <f t="shared" si="21"/>
        <v>49608.179999999993</v>
      </c>
      <c r="O69" s="40">
        <f>SUM(O7:O67)-O8-O14-O20-O27+O5</f>
        <v>364173.59666666656</v>
      </c>
      <c r="P69" s="39">
        <f>P7+P8+P14+P20+P24+P25+P26+P27+P50+P51+P52+P54+P55+P56+P57+P58+P59+P63+P65+P66+P67+P53</f>
        <v>479158.3</v>
      </c>
      <c r="Q69" s="98">
        <f>+O69/P69</f>
        <v>0.76002773335381346</v>
      </c>
      <c r="R69" s="34">
        <f>P69-O69</f>
        <v>114984.70333333343</v>
      </c>
      <c r="S69" s="4"/>
      <c r="V69" s="39">
        <f>V7+V8+V14+V20+V24+V25+V26+V27+V50+V51+V52+V54+V55+V56+V57+V58+V59+V63+V65+V66+V67+V53</f>
        <v>450434.92666666658</v>
      </c>
      <c r="W69" s="39">
        <f>W7+W8+W14+W20+W24+W25+W26+W27+W50+W51+W52+W54+W55+W56+W57+W58+W59+W63+W65+W66+W67+W53</f>
        <v>479158.3</v>
      </c>
    </row>
    <row r="70" spans="1:23" ht="15.75" thickTop="1" x14ac:dyDescent="0.25">
      <c r="F70" s="33"/>
      <c r="G70" s="4"/>
      <c r="H70" s="4"/>
      <c r="I70" s="4"/>
      <c r="J70" s="4"/>
      <c r="K70" s="4"/>
      <c r="L70" s="4"/>
      <c r="M70" s="4"/>
      <c r="N70" s="4"/>
      <c r="O70" s="4"/>
      <c r="P70" s="5"/>
      <c r="Q70" s="54"/>
      <c r="R70" s="4"/>
    </row>
    <row r="71" spans="1:23" x14ac:dyDescent="0.25">
      <c r="F71" s="33"/>
      <c r="G71" s="4"/>
      <c r="H71" s="4"/>
      <c r="I71" s="4"/>
      <c r="J71" s="4"/>
      <c r="K71" s="4"/>
      <c r="L71" s="4"/>
      <c r="M71" s="4"/>
      <c r="N71" s="4"/>
      <c r="O71" s="4"/>
      <c r="P71" s="5"/>
      <c r="Q71" s="54"/>
      <c r="R71" s="4"/>
    </row>
    <row r="72" spans="1:23" ht="15.75" thickBot="1" x14ac:dyDescent="0.3">
      <c r="F72" s="97"/>
      <c r="G72" s="96"/>
      <c r="H72" s="96"/>
      <c r="I72" s="96"/>
      <c r="J72" s="96"/>
      <c r="K72" s="96"/>
      <c r="L72" s="96"/>
      <c r="M72" s="96"/>
      <c r="N72" s="163"/>
      <c r="O72" s="96"/>
      <c r="P72" s="95"/>
      <c r="Q72" s="94"/>
      <c r="R72" s="4"/>
      <c r="U72" s="181" t="s">
        <v>107</v>
      </c>
      <c r="V72" s="181" t="s">
        <v>109</v>
      </c>
      <c r="W72" s="181" t="s">
        <v>108</v>
      </c>
    </row>
    <row r="73" spans="1:23" x14ac:dyDescent="0.25">
      <c r="B73" s="93">
        <v>705</v>
      </c>
      <c r="C73" s="84" t="s">
        <v>24</v>
      </c>
      <c r="D73" s="84"/>
      <c r="E73" s="83"/>
      <c r="F73" s="68">
        <v>360</v>
      </c>
      <c r="G73" s="68">
        <v>0</v>
      </c>
      <c r="H73" s="68">
        <f>32430-45</f>
        <v>32385</v>
      </c>
      <c r="I73" s="67">
        <v>0</v>
      </c>
      <c r="J73" s="66">
        <v>135</v>
      </c>
      <c r="K73" s="67">
        <f>32055-45</f>
        <v>32010</v>
      </c>
      <c r="L73" s="67">
        <v>-45</v>
      </c>
      <c r="M73" s="67">
        <v>0</v>
      </c>
      <c r="N73" s="87">
        <f>96795-64935</f>
        <v>31860</v>
      </c>
      <c r="O73" s="92">
        <f>SUM(F73:N73)</f>
        <v>96705</v>
      </c>
      <c r="P73" s="78">
        <v>133900</v>
      </c>
      <c r="Q73" s="54">
        <f>+O73/P73</f>
        <v>0.72221807318894693</v>
      </c>
      <c r="R73" s="91">
        <f>+O73-P73</f>
        <v>-37195</v>
      </c>
      <c r="U73">
        <v>31860</v>
      </c>
      <c r="V73" s="2">
        <f>+O73+U73</f>
        <v>128565</v>
      </c>
      <c r="W73" s="1">
        <v>133900</v>
      </c>
    </row>
    <row r="74" spans="1:23" x14ac:dyDescent="0.25">
      <c r="B74" s="53">
        <v>705</v>
      </c>
      <c r="C74" t="s">
        <v>23</v>
      </c>
      <c r="E74" s="52"/>
      <c r="F74" s="88">
        <v>9752.17</v>
      </c>
      <c r="G74" s="58">
        <f>14800.92-45</f>
        <v>14755.92</v>
      </c>
      <c r="H74" s="88">
        <v>16142.82</v>
      </c>
      <c r="I74" s="58">
        <v>12000.3</v>
      </c>
      <c r="J74" s="57">
        <v>13914.71</v>
      </c>
      <c r="K74" s="58">
        <v>21028.47</v>
      </c>
      <c r="L74" s="58">
        <f>13962.6-45-45-45-45</f>
        <v>13782.6</v>
      </c>
      <c r="M74" s="58">
        <f>3641.01+0.1</f>
        <v>3641.11</v>
      </c>
      <c r="N74" s="87">
        <f>120163.65-105243.1</f>
        <v>14920.549999999988</v>
      </c>
      <c r="O74" s="89">
        <f>SUM(F74:N74)</f>
        <v>119938.65000000001</v>
      </c>
      <c r="P74" s="59">
        <v>130000</v>
      </c>
      <c r="Q74" s="54">
        <f>+O74/P74</f>
        <v>0.92260500000000012</v>
      </c>
      <c r="R74" s="45">
        <f>+O74-P74</f>
        <v>-10061.349999999991</v>
      </c>
      <c r="U74" s="179">
        <f>13500*3</f>
        <v>40500</v>
      </c>
      <c r="V74" s="2">
        <f>+O74+U74</f>
        <v>160438.65000000002</v>
      </c>
      <c r="W74" s="1">
        <v>130000</v>
      </c>
    </row>
    <row r="75" spans="1:23" x14ac:dyDescent="0.25">
      <c r="A75" s="23"/>
      <c r="B75" s="53">
        <v>705</v>
      </c>
      <c r="C75" t="s">
        <v>22</v>
      </c>
      <c r="E75" s="52"/>
      <c r="F75" s="90">
        <v>0</v>
      </c>
      <c r="G75" s="61">
        <v>0</v>
      </c>
      <c r="H75" s="90">
        <v>0</v>
      </c>
      <c r="I75" s="61">
        <v>0</v>
      </c>
      <c r="J75" s="60">
        <v>0</v>
      </c>
      <c r="K75" s="61">
        <v>0</v>
      </c>
      <c r="L75" s="61">
        <v>0</v>
      </c>
      <c r="M75" s="61">
        <v>0</v>
      </c>
      <c r="N75" s="153">
        <v>0</v>
      </c>
      <c r="O75" s="89">
        <f t="shared" ref="O75:O77" si="22">SUM(F75:N75)</f>
        <v>0</v>
      </c>
      <c r="P75" s="59">
        <v>0</v>
      </c>
      <c r="Q75" s="54" t="e">
        <f t="shared" ref="Q75:Q78" si="23">+O75/P75</f>
        <v>#DIV/0!</v>
      </c>
      <c r="R75" s="45">
        <f>+O75-P75</f>
        <v>0</v>
      </c>
      <c r="U75">
        <v>0</v>
      </c>
      <c r="V75" s="2">
        <f>+O75+U75</f>
        <v>0</v>
      </c>
      <c r="W75" s="1">
        <v>0</v>
      </c>
    </row>
    <row r="76" spans="1:23" x14ac:dyDescent="0.25">
      <c r="B76" s="53">
        <v>705</v>
      </c>
      <c r="C76" t="s">
        <v>21</v>
      </c>
      <c r="E76" s="52"/>
      <c r="F76" s="88">
        <v>0</v>
      </c>
      <c r="G76" s="58">
        <v>0</v>
      </c>
      <c r="H76" s="88">
        <v>0</v>
      </c>
      <c r="I76" s="58">
        <v>0</v>
      </c>
      <c r="J76" s="57">
        <v>0</v>
      </c>
      <c r="K76" s="58">
        <v>0</v>
      </c>
      <c r="L76" s="58">
        <v>45500</v>
      </c>
      <c r="M76" s="58">
        <v>0</v>
      </c>
      <c r="N76" s="87">
        <v>0</v>
      </c>
      <c r="O76" s="89">
        <f t="shared" si="22"/>
        <v>45500</v>
      </c>
      <c r="P76" s="59">
        <v>52500</v>
      </c>
      <c r="Q76" s="54">
        <f t="shared" si="23"/>
        <v>0.8666666666666667</v>
      </c>
      <c r="R76" s="45">
        <f>+O76-P76</f>
        <v>-7000</v>
      </c>
      <c r="U76">
        <v>7000</v>
      </c>
      <c r="V76" s="2">
        <f>+O76+U76</f>
        <v>52500</v>
      </c>
      <c r="W76" s="1">
        <v>52500</v>
      </c>
    </row>
    <row r="77" spans="1:23" x14ac:dyDescent="0.25">
      <c r="B77" s="53">
        <v>740</v>
      </c>
      <c r="C77" t="s">
        <v>105</v>
      </c>
      <c r="E77" s="52"/>
      <c r="F77" s="88">
        <v>0</v>
      </c>
      <c r="G77" s="88">
        <v>0</v>
      </c>
      <c r="H77" s="88">
        <v>0</v>
      </c>
      <c r="I77" s="88">
        <v>0</v>
      </c>
      <c r="J77" s="87">
        <v>0</v>
      </c>
      <c r="K77" s="58">
        <v>0</v>
      </c>
      <c r="L77" s="58">
        <v>0</v>
      </c>
      <c r="M77" s="58">
        <v>0</v>
      </c>
      <c r="N77" s="87">
        <v>3300</v>
      </c>
      <c r="O77" s="89">
        <f t="shared" si="22"/>
        <v>3300</v>
      </c>
      <c r="P77" s="59">
        <v>0</v>
      </c>
      <c r="Q77" s="54" t="e">
        <f t="shared" si="23"/>
        <v>#DIV/0!</v>
      </c>
      <c r="R77" s="45">
        <f>+O77-P77</f>
        <v>3300</v>
      </c>
      <c r="U77">
        <v>0</v>
      </c>
      <c r="V77" s="2">
        <f>+O77+U77</f>
        <v>3300</v>
      </c>
      <c r="W77" s="1">
        <v>0</v>
      </c>
    </row>
    <row r="78" spans="1:23" x14ac:dyDescent="0.25">
      <c r="B78" s="53">
        <v>759</v>
      </c>
      <c r="C78" t="s">
        <v>20</v>
      </c>
      <c r="E78" s="52"/>
      <c r="F78" s="88">
        <f t="shared" ref="F78:N78" si="24">SUM(F79:F84)</f>
        <v>507.79</v>
      </c>
      <c r="G78" s="88">
        <f t="shared" si="24"/>
        <v>71.3</v>
      </c>
      <c r="H78" s="88">
        <f t="shared" si="24"/>
        <v>2340</v>
      </c>
      <c r="I78" s="88">
        <f t="shared" si="24"/>
        <v>1021.92</v>
      </c>
      <c r="J78" s="87">
        <f t="shared" si="24"/>
        <v>10210.200000000001</v>
      </c>
      <c r="K78" s="58">
        <f t="shared" si="24"/>
        <v>2400</v>
      </c>
      <c r="L78" s="58">
        <f t="shared" si="24"/>
        <v>0</v>
      </c>
      <c r="M78" s="58">
        <f t="shared" si="24"/>
        <v>0</v>
      </c>
      <c r="N78" s="58">
        <f t="shared" si="24"/>
        <v>2601.0300000000002</v>
      </c>
      <c r="O78" s="86">
        <f>+O79+O80+O81+O82+O83+O84</f>
        <v>19152.240000000002</v>
      </c>
      <c r="P78" s="59">
        <f>SUM(P79:P84)</f>
        <v>58000</v>
      </c>
      <c r="Q78" s="164">
        <f t="shared" si="23"/>
        <v>0.33021103448275863</v>
      </c>
      <c r="R78" s="110">
        <f t="shared" ref="R78:R90" si="25">+O78-P78</f>
        <v>-38847.759999999995</v>
      </c>
      <c r="V78" s="1">
        <f>SUM(V79:V84)</f>
        <v>21602.240000000002</v>
      </c>
      <c r="W78" s="1">
        <v>58000</v>
      </c>
    </row>
    <row r="79" spans="1:23" x14ac:dyDescent="0.25">
      <c r="B79" s="53"/>
      <c r="C79" s="85" t="s">
        <v>19</v>
      </c>
      <c r="D79" s="84"/>
      <c r="E79" s="83"/>
      <c r="F79" s="82">
        <v>0</v>
      </c>
      <c r="G79" s="81">
        <v>0</v>
      </c>
      <c r="H79" s="82">
        <v>0</v>
      </c>
      <c r="I79" s="81">
        <v>951.92</v>
      </c>
      <c r="J79" s="80">
        <v>0</v>
      </c>
      <c r="K79" s="81">
        <v>0</v>
      </c>
      <c r="L79" s="81">
        <v>0</v>
      </c>
      <c r="M79" s="81">
        <v>0</v>
      </c>
      <c r="N79" s="147">
        <v>174.67</v>
      </c>
      <c r="O79" s="74">
        <f t="shared" ref="O79:O82" si="26">SUM(F79:N79)</f>
        <v>1126.5899999999999</v>
      </c>
      <c r="P79" s="78">
        <v>30000</v>
      </c>
      <c r="Q79" s="54">
        <f>+O79/P79</f>
        <v>3.7552999999999996E-2</v>
      </c>
      <c r="R79" s="45">
        <f t="shared" si="25"/>
        <v>-28873.41</v>
      </c>
      <c r="U79" s="179"/>
      <c r="V79" s="177">
        <f t="shared" ref="V79:V90" si="27">+O79+U79</f>
        <v>1126.5899999999999</v>
      </c>
    </row>
    <row r="80" spans="1:23" x14ac:dyDescent="0.25">
      <c r="B80" s="53"/>
      <c r="C80" s="77" t="s">
        <v>18</v>
      </c>
      <c r="E80" s="52"/>
      <c r="F80" s="76">
        <v>0</v>
      </c>
      <c r="G80" s="76">
        <v>0</v>
      </c>
      <c r="H80" s="76">
        <v>0</v>
      </c>
      <c r="I80" s="76">
        <v>0</v>
      </c>
      <c r="J80" s="125">
        <v>10210.200000000001</v>
      </c>
      <c r="K80" s="126">
        <v>0</v>
      </c>
      <c r="L80" s="126">
        <v>0</v>
      </c>
      <c r="M80" s="126">
        <v>0</v>
      </c>
      <c r="N80" s="75">
        <v>0</v>
      </c>
      <c r="O80" s="74">
        <f t="shared" si="26"/>
        <v>10210.200000000001</v>
      </c>
      <c r="P80" s="59">
        <v>13000</v>
      </c>
      <c r="Q80" s="54">
        <f>+O80/P80</f>
        <v>0.7854000000000001</v>
      </c>
      <c r="R80" s="45">
        <f t="shared" si="25"/>
        <v>-2789.7999999999993</v>
      </c>
      <c r="U80" s="179"/>
      <c r="V80" s="177">
        <f t="shared" si="27"/>
        <v>10210.200000000001</v>
      </c>
    </row>
    <row r="81" spans="2:23" x14ac:dyDescent="0.25">
      <c r="B81" s="53"/>
      <c r="C81" s="77" t="s">
        <v>17</v>
      </c>
      <c r="E81" s="52"/>
      <c r="F81" s="76">
        <v>40</v>
      </c>
      <c r="G81" s="76">
        <v>0</v>
      </c>
      <c r="H81" s="76">
        <f>4260-1920</f>
        <v>2340</v>
      </c>
      <c r="I81" s="76">
        <v>0</v>
      </c>
      <c r="J81" s="125">
        <v>0</v>
      </c>
      <c r="K81" s="126">
        <v>2400</v>
      </c>
      <c r="L81" s="126">
        <v>0</v>
      </c>
      <c r="M81" s="126">
        <v>0</v>
      </c>
      <c r="N81" s="75">
        <f>7130-4780</f>
        <v>2350</v>
      </c>
      <c r="O81" s="74">
        <f t="shared" si="26"/>
        <v>7130</v>
      </c>
      <c r="P81" s="59">
        <v>10000</v>
      </c>
      <c r="Q81" s="54">
        <f>+O81/P81</f>
        <v>0.71299999999999997</v>
      </c>
      <c r="R81" s="45">
        <f t="shared" si="25"/>
        <v>-2870</v>
      </c>
      <c r="U81">
        <v>2350</v>
      </c>
      <c r="V81" s="177">
        <f t="shared" si="27"/>
        <v>9480</v>
      </c>
    </row>
    <row r="82" spans="2:23" x14ac:dyDescent="0.25">
      <c r="B82" s="53"/>
      <c r="C82" s="77" t="s">
        <v>16</v>
      </c>
      <c r="E82" s="52"/>
      <c r="F82" s="76">
        <v>394</v>
      </c>
      <c r="G82" s="76">
        <v>0</v>
      </c>
      <c r="H82" s="76">
        <v>0</v>
      </c>
      <c r="I82" s="76">
        <v>0</v>
      </c>
      <c r="J82" s="125">
        <v>0</v>
      </c>
      <c r="K82" s="126">
        <v>0</v>
      </c>
      <c r="L82" s="126">
        <v>0</v>
      </c>
      <c r="M82" s="126">
        <v>0</v>
      </c>
      <c r="N82" s="75">
        <v>0</v>
      </c>
      <c r="O82" s="74">
        <f t="shared" si="26"/>
        <v>394</v>
      </c>
      <c r="P82" s="59">
        <v>0</v>
      </c>
      <c r="Q82" s="54"/>
      <c r="R82" s="45">
        <f t="shared" si="25"/>
        <v>394</v>
      </c>
      <c r="U82">
        <v>0</v>
      </c>
      <c r="V82" s="177">
        <f t="shared" si="27"/>
        <v>394</v>
      </c>
    </row>
    <row r="83" spans="2:23" x14ac:dyDescent="0.25">
      <c r="B83" s="53"/>
      <c r="C83" s="77" t="s">
        <v>15</v>
      </c>
      <c r="E83" s="52"/>
      <c r="F83" s="76">
        <v>73.790000000000006</v>
      </c>
      <c r="G83" s="76">
        <v>71.3</v>
      </c>
      <c r="H83" s="76">
        <v>0</v>
      </c>
      <c r="I83" s="76">
        <v>70</v>
      </c>
      <c r="J83" s="125">
        <v>0</v>
      </c>
      <c r="K83" s="126">
        <v>0</v>
      </c>
      <c r="L83" s="126">
        <v>0</v>
      </c>
      <c r="M83" s="126">
        <v>0</v>
      </c>
      <c r="N83" s="75">
        <v>76.36</v>
      </c>
      <c r="O83" s="74">
        <f>SUM(F83:N83)</f>
        <v>291.45</v>
      </c>
      <c r="P83" s="59">
        <v>0</v>
      </c>
      <c r="Q83" s="54"/>
      <c r="R83" s="45">
        <f t="shared" si="25"/>
        <v>291.45</v>
      </c>
      <c r="U83">
        <v>100</v>
      </c>
      <c r="V83" s="177">
        <f t="shared" si="27"/>
        <v>391.45</v>
      </c>
    </row>
    <row r="84" spans="2:23" x14ac:dyDescent="0.25">
      <c r="B84" s="53"/>
      <c r="C84" s="73" t="s">
        <v>14</v>
      </c>
      <c r="D84" s="43"/>
      <c r="E84" s="72"/>
      <c r="F84" s="71">
        <v>0</v>
      </c>
      <c r="G84" s="70">
        <v>0</v>
      </c>
      <c r="H84" s="69">
        <v>0</v>
      </c>
      <c r="I84" s="70">
        <v>0</v>
      </c>
      <c r="J84" s="157">
        <v>0</v>
      </c>
      <c r="K84" s="70">
        <v>0</v>
      </c>
      <c r="L84" s="70">
        <v>0</v>
      </c>
      <c r="M84" s="70">
        <v>0</v>
      </c>
      <c r="N84" s="148">
        <v>0</v>
      </c>
      <c r="O84" s="48">
        <f>SUM(F84:N84)</f>
        <v>0</v>
      </c>
      <c r="P84" s="69">
        <v>5000</v>
      </c>
      <c r="Q84" s="46">
        <f>+O84/P84</f>
        <v>0</v>
      </c>
      <c r="R84" s="45">
        <f t="shared" si="25"/>
        <v>-5000</v>
      </c>
      <c r="U84">
        <v>0</v>
      </c>
      <c r="V84" s="177">
        <f t="shared" si="27"/>
        <v>0</v>
      </c>
    </row>
    <row r="85" spans="2:23" x14ac:dyDescent="0.25">
      <c r="B85" s="53">
        <v>762</v>
      </c>
      <c r="C85" t="s">
        <v>13</v>
      </c>
      <c r="E85" s="52"/>
      <c r="F85" s="68">
        <v>0</v>
      </c>
      <c r="G85" s="68">
        <v>0</v>
      </c>
      <c r="H85" s="68">
        <v>0</v>
      </c>
      <c r="I85" s="67">
        <v>0</v>
      </c>
      <c r="J85" s="66">
        <v>0</v>
      </c>
      <c r="K85" s="67">
        <v>0</v>
      </c>
      <c r="L85" s="58">
        <v>0</v>
      </c>
      <c r="M85" s="58">
        <v>0</v>
      </c>
      <c r="N85" s="87">
        <v>0</v>
      </c>
      <c r="O85" s="56">
        <f>SUM(F85:N85)</f>
        <v>0</v>
      </c>
      <c r="P85" s="59">
        <v>20000</v>
      </c>
      <c r="Q85" s="54">
        <f>+O85/P85</f>
        <v>0</v>
      </c>
      <c r="R85" s="45">
        <f t="shared" si="25"/>
        <v>-20000</v>
      </c>
      <c r="U85" s="179">
        <v>0</v>
      </c>
      <c r="V85" s="177">
        <f t="shared" si="27"/>
        <v>0</v>
      </c>
      <c r="W85" s="1">
        <v>20000</v>
      </c>
    </row>
    <row r="86" spans="2:23" x14ac:dyDescent="0.25">
      <c r="B86" s="53">
        <v>763</v>
      </c>
      <c r="C86" t="s">
        <v>12</v>
      </c>
      <c r="E86" s="52"/>
      <c r="F86" s="65"/>
      <c r="G86" s="65"/>
      <c r="H86" s="64">
        <v>0</v>
      </c>
      <c r="I86" s="64"/>
      <c r="J86" s="63">
        <v>94967.52</v>
      </c>
      <c r="K86" s="64">
        <v>42420.54</v>
      </c>
      <c r="L86" s="64"/>
      <c r="M86" s="64"/>
      <c r="N86" s="105">
        <f>124697.87-137388.06</f>
        <v>-12690.190000000002</v>
      </c>
      <c r="O86" s="56">
        <f>SUM(F86:N86)</f>
        <v>124697.87</v>
      </c>
      <c r="P86" s="59">
        <v>0</v>
      </c>
      <c r="Q86" s="54"/>
      <c r="R86" s="45">
        <f t="shared" si="25"/>
        <v>124697.87</v>
      </c>
      <c r="S86" t="s">
        <v>11</v>
      </c>
      <c r="U86">
        <v>0</v>
      </c>
      <c r="V86" s="177">
        <f t="shared" si="27"/>
        <v>124697.87</v>
      </c>
      <c r="W86" s="1">
        <v>0</v>
      </c>
    </row>
    <row r="87" spans="2:23" x14ac:dyDescent="0.25">
      <c r="B87" s="53">
        <v>763</v>
      </c>
      <c r="C87" t="s">
        <v>10</v>
      </c>
      <c r="E87" s="52"/>
      <c r="F87" s="62">
        <v>0</v>
      </c>
      <c r="G87" s="61">
        <v>108.32</v>
      </c>
      <c r="H87" s="61">
        <v>30079.85</v>
      </c>
      <c r="I87" s="61">
        <v>6897.31</v>
      </c>
      <c r="J87" s="60">
        <v>0</v>
      </c>
      <c r="K87" s="61">
        <v>0</v>
      </c>
      <c r="L87" s="61">
        <v>39741.33</v>
      </c>
      <c r="M87" s="61">
        <v>0</v>
      </c>
      <c r="N87" s="153">
        <v>0</v>
      </c>
      <c r="O87" s="56">
        <f t="shared" ref="O87:O90" si="28">SUM(F87:N87)</f>
        <v>76826.81</v>
      </c>
      <c r="P87" s="59">
        <v>0</v>
      </c>
      <c r="Q87" s="54"/>
      <c r="R87" s="45">
        <f t="shared" si="25"/>
        <v>76826.81</v>
      </c>
      <c r="T87" s="4"/>
      <c r="U87">
        <v>0</v>
      </c>
      <c r="V87" s="177">
        <f t="shared" si="27"/>
        <v>76826.81</v>
      </c>
      <c r="W87" s="1">
        <v>0</v>
      </c>
    </row>
    <row r="88" spans="2:23" x14ac:dyDescent="0.25">
      <c r="B88" s="53">
        <v>769</v>
      </c>
      <c r="C88" t="s">
        <v>9</v>
      </c>
      <c r="E88" s="52"/>
      <c r="F88" s="58">
        <v>0.09</v>
      </c>
      <c r="G88" s="58">
        <v>0</v>
      </c>
      <c r="H88" s="58">
        <v>0</v>
      </c>
      <c r="I88" s="58">
        <f>0.05+42.67</f>
        <v>42.72</v>
      </c>
      <c r="J88" s="57">
        <v>6</v>
      </c>
      <c r="K88" s="58">
        <v>0</v>
      </c>
      <c r="L88" s="58">
        <v>0.15</v>
      </c>
      <c r="M88" s="58">
        <v>0</v>
      </c>
      <c r="N88" s="87">
        <v>0</v>
      </c>
      <c r="O88" s="56">
        <f t="shared" si="28"/>
        <v>48.96</v>
      </c>
      <c r="P88" s="59">
        <v>0</v>
      </c>
      <c r="Q88" s="54"/>
      <c r="R88" s="45">
        <f t="shared" si="25"/>
        <v>48.96</v>
      </c>
      <c r="U88">
        <v>15</v>
      </c>
      <c r="V88" s="177">
        <f t="shared" si="27"/>
        <v>63.96</v>
      </c>
      <c r="W88" s="1">
        <v>0</v>
      </c>
    </row>
    <row r="89" spans="2:23" x14ac:dyDescent="0.25">
      <c r="B89" s="53">
        <v>778</v>
      </c>
      <c r="C89" t="s">
        <v>8</v>
      </c>
      <c r="E89" s="52"/>
      <c r="F89" s="58">
        <v>0</v>
      </c>
      <c r="G89" s="58">
        <v>0</v>
      </c>
      <c r="H89" s="58">
        <v>0</v>
      </c>
      <c r="I89" s="58">
        <v>0</v>
      </c>
      <c r="J89" s="57">
        <v>0</v>
      </c>
      <c r="K89" s="58">
        <v>0</v>
      </c>
      <c r="L89" s="58">
        <v>0</v>
      </c>
      <c r="M89" s="58">
        <v>0</v>
      </c>
      <c r="N89" s="87">
        <v>0</v>
      </c>
      <c r="O89" s="56">
        <f t="shared" si="28"/>
        <v>0</v>
      </c>
      <c r="P89" s="55">
        <v>83758.3</v>
      </c>
      <c r="Q89" s="54"/>
      <c r="R89" s="45">
        <f t="shared" si="25"/>
        <v>-83758.3</v>
      </c>
      <c r="U89">
        <v>0</v>
      </c>
      <c r="V89" s="177">
        <f t="shared" si="27"/>
        <v>0</v>
      </c>
      <c r="W89" s="1">
        <v>83758.3</v>
      </c>
    </row>
    <row r="90" spans="2:23" x14ac:dyDescent="0.25">
      <c r="B90" s="53">
        <v>794</v>
      </c>
      <c r="C90" t="s">
        <v>7</v>
      </c>
      <c r="E90" s="52"/>
      <c r="F90" s="58">
        <v>45</v>
      </c>
      <c r="G90" s="58">
        <v>0</v>
      </c>
      <c r="H90" s="58">
        <v>0</v>
      </c>
      <c r="I90" s="58">
        <v>0</v>
      </c>
      <c r="J90" s="57">
        <v>0</v>
      </c>
      <c r="K90" s="58">
        <v>0</v>
      </c>
      <c r="L90" s="58">
        <v>0</v>
      </c>
      <c r="M90" s="58">
        <v>0</v>
      </c>
      <c r="N90" s="87">
        <v>0</v>
      </c>
      <c r="O90" s="56">
        <f t="shared" si="28"/>
        <v>45</v>
      </c>
      <c r="P90" s="55">
        <v>1000</v>
      </c>
      <c r="Q90" s="54">
        <f>+O90/P90</f>
        <v>4.4999999999999998E-2</v>
      </c>
      <c r="R90" s="45">
        <f t="shared" si="25"/>
        <v>-955</v>
      </c>
      <c r="U90">
        <v>0</v>
      </c>
      <c r="V90" s="177">
        <f t="shared" si="27"/>
        <v>45</v>
      </c>
      <c r="W90" s="1">
        <v>1000</v>
      </c>
    </row>
    <row r="91" spans="2:23" x14ac:dyDescent="0.25">
      <c r="B91" s="53"/>
      <c r="E91" s="52"/>
      <c r="F91" s="51"/>
      <c r="G91" s="50"/>
      <c r="H91" s="50"/>
      <c r="I91" s="50"/>
      <c r="J91" s="49"/>
      <c r="K91" s="50"/>
      <c r="L91" s="50"/>
      <c r="M91" s="50"/>
      <c r="N91" s="155"/>
      <c r="O91" s="48"/>
      <c r="P91" s="47"/>
      <c r="Q91" s="46"/>
      <c r="R91" s="45"/>
    </row>
    <row r="92" spans="2:23" ht="15.75" thickBot="1" x14ac:dyDescent="0.3">
      <c r="B92" s="44"/>
      <c r="C92" s="43"/>
      <c r="D92" s="43"/>
      <c r="E92" s="42" t="s">
        <v>6</v>
      </c>
      <c r="F92" s="41">
        <f t="shared" ref="F92:J92" si="29">F73+F74+F75+F78+F85+F88+F90+F87+F86+F76+F89</f>
        <v>10665.050000000001</v>
      </c>
      <c r="G92" s="41">
        <f t="shared" si="29"/>
        <v>14935.539999999999</v>
      </c>
      <c r="H92" s="41">
        <f t="shared" si="29"/>
        <v>80947.67</v>
      </c>
      <c r="I92" s="41">
        <f t="shared" si="29"/>
        <v>19962.25</v>
      </c>
      <c r="J92" s="41">
        <f t="shared" si="29"/>
        <v>119233.43000000001</v>
      </c>
      <c r="K92" s="41">
        <f t="shared" ref="K92:N92" si="30">K73+K74+K75+K78+K85+K88+K90+K87+K86+K76+K89</f>
        <v>97859.010000000009</v>
      </c>
      <c r="L92" s="41">
        <f t="shared" si="30"/>
        <v>98979.08</v>
      </c>
      <c r="M92" s="41">
        <f t="shared" si="30"/>
        <v>3641.11</v>
      </c>
      <c r="N92" s="41">
        <f t="shared" si="30"/>
        <v>36691.389999999985</v>
      </c>
      <c r="O92" s="40">
        <f>O73+O74+O75+O78+O85+O88+O90+O87+O86+O76+O89</f>
        <v>482914.53</v>
      </c>
      <c r="P92" s="39">
        <f>P73+P74+P75+P78+P85+P88+P90+P89+P76+P77+P86+P87</f>
        <v>479158.3</v>
      </c>
      <c r="Q92" s="38">
        <f>+O92/P92</f>
        <v>1.0078392255753474</v>
      </c>
      <c r="R92" s="34">
        <f>+O92-P92</f>
        <v>3756.2300000000396</v>
      </c>
      <c r="V92" s="39">
        <f>V73+V74+V75+V78+V85+V88+V90+V89+V76+V77+V86+V87</f>
        <v>568039.53</v>
      </c>
      <c r="W92" s="39">
        <f>W73+W74+W75+W78+W85+W88+W90+W89+W76+W77+W86+W87</f>
        <v>479158.3</v>
      </c>
    </row>
    <row r="93" spans="2:23" ht="16.5" thickTop="1" thickBot="1" x14ac:dyDescent="0.3">
      <c r="F93" s="27"/>
      <c r="P93" s="5"/>
      <c r="R93" s="4"/>
    </row>
    <row r="94" spans="2:23" ht="15.75" thickBot="1" x14ac:dyDescent="0.3">
      <c r="E94" s="37" t="s">
        <v>0</v>
      </c>
      <c r="F94" s="26">
        <f t="shared" ref="F94:J94" si="31">+F92-F69</f>
        <v>-15710.226666666667</v>
      </c>
      <c r="G94" s="26">
        <f t="shared" si="31"/>
        <v>-11393.409999999998</v>
      </c>
      <c r="H94" s="25">
        <f t="shared" si="31"/>
        <v>48017.049999999996</v>
      </c>
      <c r="I94" s="26">
        <f t="shared" si="31"/>
        <v>-10707.169999999998</v>
      </c>
      <c r="J94" s="25">
        <f t="shared" si="31"/>
        <v>47287.17</v>
      </c>
      <c r="K94" s="25">
        <f t="shared" ref="K94:N94" si="32">+K92-K69</f>
        <v>44841.98000000001</v>
      </c>
      <c r="L94" s="25">
        <f t="shared" si="32"/>
        <v>38377.400000000009</v>
      </c>
      <c r="M94" s="26">
        <f t="shared" si="32"/>
        <v>-9055.0699999999979</v>
      </c>
      <c r="N94" s="26">
        <f t="shared" si="32"/>
        <v>-12916.790000000008</v>
      </c>
      <c r="O94" s="36">
        <f>+O92-O69</f>
        <v>118740.93333333347</v>
      </c>
      <c r="P94" s="35">
        <f>+P92-P69</f>
        <v>0</v>
      </c>
      <c r="R94" s="34">
        <f>+R69+R92</f>
        <v>118740.93333333347</v>
      </c>
      <c r="V94" s="36">
        <f>+V92-V69</f>
        <v>117604.60333333345</v>
      </c>
    </row>
    <row r="95" spans="2:23" x14ac:dyDescent="0.25">
      <c r="F95" s="27"/>
      <c r="P95" s="5"/>
    </row>
    <row r="96" spans="2:23" x14ac:dyDescent="0.25">
      <c r="E96" t="s">
        <v>5</v>
      </c>
      <c r="F96" s="33"/>
      <c r="G96" s="4"/>
      <c r="H96" s="4"/>
      <c r="I96" s="4"/>
      <c r="J96" s="4"/>
      <c r="K96" s="4"/>
      <c r="L96" s="4"/>
      <c r="M96" s="4"/>
      <c r="N96" s="4"/>
      <c r="O96" s="4"/>
      <c r="P96" s="32">
        <v>0</v>
      </c>
    </row>
    <row r="97" spans="5:22" ht="15.75" thickBot="1" x14ac:dyDescent="0.3">
      <c r="F97" s="27"/>
      <c r="P97" s="5"/>
    </row>
    <row r="98" spans="5:22" ht="15.75" thickBot="1" x14ac:dyDescent="0.3">
      <c r="E98" s="31"/>
      <c r="F98" s="30"/>
      <c r="G98" s="29"/>
      <c r="H98" s="29"/>
      <c r="I98" s="29"/>
      <c r="J98" s="29"/>
      <c r="K98" s="29"/>
      <c r="L98" s="29"/>
      <c r="M98" s="29"/>
      <c r="N98" s="29"/>
      <c r="O98" s="29"/>
      <c r="P98" s="28">
        <f>+P94+P96</f>
        <v>0</v>
      </c>
    </row>
    <row r="99" spans="5:22" x14ac:dyDescent="0.25">
      <c r="F99" s="27"/>
      <c r="P99" s="5"/>
    </row>
    <row r="100" spans="5:22" x14ac:dyDescent="0.25">
      <c r="F100" s="27"/>
      <c r="P100" s="5"/>
    </row>
    <row r="101" spans="5:22" x14ac:dyDescent="0.25">
      <c r="E101" s="3" t="s">
        <v>4</v>
      </c>
      <c r="F101" s="27"/>
      <c r="P101" s="5"/>
    </row>
    <row r="102" spans="5:22" ht="15.75" thickBot="1" x14ac:dyDescent="0.3">
      <c r="F102" s="27"/>
      <c r="P102" s="5"/>
    </row>
    <row r="103" spans="5:22" ht="15.75" thickBot="1" x14ac:dyDescent="0.3">
      <c r="E103" s="16" t="s">
        <v>3</v>
      </c>
      <c r="F103" s="26">
        <f t="shared" ref="F103:N103" si="33">F88+F86+F85+F87-F16-F60-F61-F62-F63</f>
        <v>-0.31000000000000005</v>
      </c>
      <c r="G103" s="25">
        <f t="shared" si="33"/>
        <v>108.22</v>
      </c>
      <c r="H103" s="25">
        <f t="shared" si="33"/>
        <v>29642.1</v>
      </c>
      <c r="I103" s="25">
        <f t="shared" si="33"/>
        <v>5611.5700000000006</v>
      </c>
      <c r="J103" s="25">
        <f t="shared" si="33"/>
        <v>92547.099999999991</v>
      </c>
      <c r="K103" s="25">
        <f t="shared" si="33"/>
        <v>43410.04</v>
      </c>
      <c r="L103" s="25">
        <f t="shared" si="33"/>
        <v>38957.760000000002</v>
      </c>
      <c r="M103" s="25">
        <f t="shared" si="33"/>
        <v>0</v>
      </c>
      <c r="N103" s="26">
        <f t="shared" si="33"/>
        <v>-16335.970000000001</v>
      </c>
      <c r="O103" s="24">
        <f>F103+G103+H103+I103+J103+K103+L103+M103+N103</f>
        <v>193940.51</v>
      </c>
      <c r="P103" s="19">
        <f>P85-P16-P63</f>
        <v>13750</v>
      </c>
      <c r="V103" s="26">
        <f>V88+V86+V85+V87-V16-V60-V61-V62-V63</f>
        <v>188830.51</v>
      </c>
    </row>
    <row r="104" spans="5:22" ht="15.75" thickBot="1" x14ac:dyDescent="0.3">
      <c r="F104" s="12"/>
      <c r="H104" s="23"/>
      <c r="I104" s="23"/>
      <c r="J104" s="23"/>
      <c r="K104" s="23"/>
      <c r="L104" s="23"/>
      <c r="M104" s="23"/>
      <c r="N104" s="23"/>
      <c r="O104" s="22"/>
      <c r="P104" s="21"/>
    </row>
    <row r="105" spans="5:22" ht="15.75" thickBot="1" x14ac:dyDescent="0.3">
      <c r="E105" s="16" t="s">
        <v>2</v>
      </c>
      <c r="F105" s="15">
        <f t="shared" ref="F105:N105" si="34">+F94-F103-F107</f>
        <v>-15709.916666666668</v>
      </c>
      <c r="G105" s="15">
        <f t="shared" si="34"/>
        <v>-11501.629999999997</v>
      </c>
      <c r="H105" s="25">
        <f t="shared" si="34"/>
        <v>18374.949999999997</v>
      </c>
      <c r="I105" s="15">
        <f t="shared" si="34"/>
        <v>-14947.269999999999</v>
      </c>
      <c r="J105" s="15">
        <f t="shared" si="34"/>
        <v>-2045.929999999993</v>
      </c>
      <c r="K105" s="15">
        <f t="shared" si="34"/>
        <v>2800.7000000000098</v>
      </c>
      <c r="L105" s="15">
        <f t="shared" si="34"/>
        <v>-580.35999999999331</v>
      </c>
      <c r="M105" s="15">
        <f t="shared" si="34"/>
        <v>-8420.8099999999977</v>
      </c>
      <c r="N105" s="25">
        <f t="shared" si="34"/>
        <v>3419.179999999993</v>
      </c>
      <c r="O105" s="20">
        <f>F105+G105+H105+I105+J105+K105+L105+M105+N105</f>
        <v>-28611.086666666648</v>
      </c>
      <c r="P105" s="19">
        <v>-54294.3</v>
      </c>
      <c r="V105" s="25">
        <f t="shared" ref="V105" si="35">+V94-V103-V107</f>
        <v>-23637.416666666562</v>
      </c>
    </row>
    <row r="106" spans="5:22" ht="15.75" thickBot="1" x14ac:dyDescent="0.3">
      <c r="E106" s="1"/>
      <c r="F106" s="18"/>
      <c r="G106" s="2"/>
      <c r="H106" s="2"/>
      <c r="I106" s="2"/>
      <c r="J106" s="2"/>
      <c r="K106" s="2"/>
      <c r="L106" s="2"/>
      <c r="M106" s="2"/>
      <c r="N106" s="2"/>
      <c r="O106" s="17"/>
      <c r="P106" s="5"/>
    </row>
    <row r="107" spans="5:22" ht="15.75" thickBot="1" x14ac:dyDescent="0.3">
      <c r="E107" s="16" t="s">
        <v>1</v>
      </c>
      <c r="F107" s="25">
        <f t="shared" ref="F107:N107" si="36">+F89-F64-F53</f>
        <v>0</v>
      </c>
      <c r="G107" s="25">
        <f t="shared" si="36"/>
        <v>0</v>
      </c>
      <c r="H107" s="25">
        <f t="shared" si="36"/>
        <v>0</v>
      </c>
      <c r="I107" s="15">
        <f t="shared" si="36"/>
        <v>-1371.47</v>
      </c>
      <c r="J107" s="15">
        <f t="shared" si="36"/>
        <v>-43214</v>
      </c>
      <c r="K107" s="15">
        <f t="shared" si="36"/>
        <v>-1368.76</v>
      </c>
      <c r="L107" s="25">
        <f t="shared" si="36"/>
        <v>0</v>
      </c>
      <c r="M107" s="15">
        <f t="shared" si="36"/>
        <v>-634.26</v>
      </c>
      <c r="N107" s="15">
        <f t="shared" si="36"/>
        <v>0</v>
      </c>
      <c r="O107" s="14">
        <f>F107+G107+H107+I107+J107+K107+L107+M107+N107</f>
        <v>-46588.490000000005</v>
      </c>
      <c r="P107" s="13">
        <f>+P89-P53</f>
        <v>40544.300000000003</v>
      </c>
      <c r="V107" s="15">
        <f t="shared" ref="V107" si="37">+V89-V64-V53</f>
        <v>-47588.49</v>
      </c>
    </row>
    <row r="108" spans="5:22" ht="15.75" thickBot="1" x14ac:dyDescent="0.3">
      <c r="F108" s="12"/>
      <c r="O108" s="11"/>
      <c r="P108" s="5"/>
    </row>
    <row r="109" spans="5:22" ht="16.5" thickBot="1" x14ac:dyDescent="0.3">
      <c r="E109" s="10" t="s">
        <v>0</v>
      </c>
      <c r="F109" s="9">
        <f t="shared" ref="F109:N109" si="38">F92-F69</f>
        <v>-15710.226666666667</v>
      </c>
      <c r="G109" s="9">
        <f t="shared" si="38"/>
        <v>-11393.409999999998</v>
      </c>
      <c r="H109" s="8">
        <f t="shared" si="38"/>
        <v>48017.049999999996</v>
      </c>
      <c r="I109" s="9">
        <f t="shared" si="38"/>
        <v>-10707.169999999998</v>
      </c>
      <c r="J109" s="8">
        <f t="shared" si="38"/>
        <v>47287.17</v>
      </c>
      <c r="K109" s="8">
        <f t="shared" si="38"/>
        <v>44841.98000000001</v>
      </c>
      <c r="L109" s="8">
        <f t="shared" si="38"/>
        <v>38377.400000000009</v>
      </c>
      <c r="M109" s="9">
        <f t="shared" si="38"/>
        <v>-9055.0699999999979</v>
      </c>
      <c r="N109" s="9">
        <f t="shared" si="38"/>
        <v>-12916.790000000008</v>
      </c>
      <c r="O109" s="7">
        <f>F109+G109+H109+I109+J109+K109+L109+M109+N109</f>
        <v>118740.93333333332</v>
      </c>
      <c r="P109" s="6">
        <f>SUM(P103:P107)</f>
        <v>0</v>
      </c>
      <c r="V109" s="9">
        <f t="shared" ref="V109" si="39">V92-V69</f>
        <v>117604.60333333345</v>
      </c>
    </row>
    <row r="110" spans="5:22" x14ac:dyDescent="0.25">
      <c r="P110" s="5"/>
    </row>
    <row r="111" spans="5:22" x14ac:dyDescent="0.25"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5"/>
    </row>
    <row r="112" spans="5:22" x14ac:dyDescent="0.25"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5:15" x14ac:dyDescent="0.25">
      <c r="E113" s="3"/>
    </row>
    <row r="114" spans="5:15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</row>
  </sheetData>
  <pageMargins left="0.7" right="0.7" top="0.75" bottom="0.75" header="0.3" footer="0.3"/>
  <pageSetup paperSize="9" scale="4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coiirm septiembre 2019</vt:lpstr>
      <vt:lpstr>'coiirm septiembre 2019'!Área_de_impresión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Guillamón Palazón</dc:creator>
  <cp:lastModifiedBy>Usuario</cp:lastModifiedBy>
  <cp:lastPrinted>2019-10-07T19:17:09Z</cp:lastPrinted>
  <dcterms:created xsi:type="dcterms:W3CDTF">2019-06-17T09:36:16Z</dcterms:created>
  <dcterms:modified xsi:type="dcterms:W3CDTF">2019-10-08T10:14:22Z</dcterms:modified>
</cp:coreProperties>
</file>