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iirm 1er trim 20" sheetId="1" r:id="rId4"/>
  </sheets>
  <definedNames/>
  <calcPr/>
</workbook>
</file>

<file path=xl/sharedStrings.xml><?xml version="1.0" encoding="utf-8"?>
<sst xmlns="http://schemas.openxmlformats.org/spreadsheetml/2006/main" count="118" uniqueCount="100">
  <si>
    <t>EJECUCION PRESUPUESTO COIIRM  2020</t>
  </si>
  <si>
    <t>A 31 MARZO (1ER TRIMESTRE)</t>
  </si>
  <si>
    <t>1T20-1T19</t>
  </si>
  <si>
    <t>1T19</t>
  </si>
  <si>
    <t>PPTO 19</t>
  </si>
  <si>
    <t>% Ejec</t>
  </si>
  <si>
    <t xml:space="preserve"> 1T20</t>
  </si>
  <si>
    <t>PPTO 20</t>
  </si>
  <si>
    <t>DIFERENCIA</t>
  </si>
  <si>
    <t>Arrendamiento de  Footocopiadora</t>
  </si>
  <si>
    <t>Mantenimientos</t>
  </si>
  <si>
    <t>Informática Web</t>
  </si>
  <si>
    <t>Fotocopias: mantenimiento</t>
  </si>
  <si>
    <t>Informática Visados</t>
  </si>
  <si>
    <t>Informática mantenimiento</t>
  </si>
  <si>
    <t>Instalaciones: mantenimiento</t>
  </si>
  <si>
    <t>Servicios profesionales independientes</t>
  </si>
  <si>
    <t>Asesoria contable, fiscal y laboral + Controller</t>
  </si>
  <si>
    <t>Auditoria</t>
  </si>
  <si>
    <t>Asesoria financiera</t>
  </si>
  <si>
    <t>Asesoría jurídica</t>
  </si>
  <si>
    <t>Convenio Esamur</t>
  </si>
  <si>
    <t>Otros servicios  profesionales ( Auditores)</t>
  </si>
  <si>
    <t>Cursos</t>
  </si>
  <si>
    <t>certificacion Yellow Belt</t>
  </si>
  <si>
    <t>Primas de seguros</t>
  </si>
  <si>
    <t>Seguro Responsabilidad Civil</t>
  </si>
  <si>
    <t>Seguro AMIC</t>
  </si>
  <si>
    <t>Otros Seguros</t>
  </si>
  <si>
    <t>Servicios bancarios y similares</t>
  </si>
  <si>
    <t>Comunicación</t>
  </si>
  <si>
    <t>Suministros: Electricidad y Agua</t>
  </si>
  <si>
    <t>Otros servicios</t>
  </si>
  <si>
    <t>Gastos de comunidad</t>
  </si>
  <si>
    <t>Correos y Mensajería</t>
  </si>
  <si>
    <t>Limpieza oficinas</t>
  </si>
  <si>
    <t>Hemeroteca y Biblioteca</t>
  </si>
  <si>
    <t>Telefono, Internet,  Mensajes</t>
  </si>
  <si>
    <t>Material y Consumibles de oficina</t>
  </si>
  <si>
    <t>Plan Estretagico</t>
  </si>
  <si>
    <t>Atenciones Protocolarias</t>
  </si>
  <si>
    <t>Cuotas Consejo General Col.Ingenieros</t>
  </si>
  <si>
    <t>Otros Servicios a Colegiados (carnets, agenda y loteria)</t>
  </si>
  <si>
    <t>Servicio prevencion de riesgos</t>
  </si>
  <si>
    <t>Proteccion de datos</t>
  </si>
  <si>
    <t>Gastos de Juntas de Gobierno</t>
  </si>
  <si>
    <t>Gastos Decano y Vicedecano</t>
  </si>
  <si>
    <t>Gastos de Juntas a Madrid</t>
  </si>
  <si>
    <t>Participación en entidades</t>
  </si>
  <si>
    <t>Desplazamientos</t>
  </si>
  <si>
    <t>Donación Proyectos Desarrollo</t>
  </si>
  <si>
    <t>Cesión cuotas ASOCIACION</t>
  </si>
  <si>
    <t>Viajes Institucionales.</t>
  </si>
  <si>
    <t>Otros Tributos</t>
  </si>
  <si>
    <t>Ajustes negativos en la imposición indirecta</t>
  </si>
  <si>
    <t>Sueldos y salarios empleados</t>
  </si>
  <si>
    <t>Indemnizaciones al personal</t>
  </si>
  <si>
    <t>Seguridad Social</t>
  </si>
  <si>
    <t>Programa formacion de colegiados</t>
  </si>
  <si>
    <t>Subvencion ATECYR colegiados</t>
  </si>
  <si>
    <t>Bonificacion cuotas desempleo</t>
  </si>
  <si>
    <t>Perdidas por cuotas incobradas</t>
  </si>
  <si>
    <t>Perdidas por la venta de fondos de inversion y acciones</t>
  </si>
  <si>
    <t>Perdidas por ajuste de valor de fondos de inversion</t>
  </si>
  <si>
    <t>Ajuste a valor de mercado</t>
  </si>
  <si>
    <t>Otros gastos financieros</t>
  </si>
  <si>
    <t>Gastos excepcionales</t>
  </si>
  <si>
    <t>Amortizacion del inmovilizado intangible</t>
  </si>
  <si>
    <t>Amortizacion del inmovilizado material</t>
  </si>
  <si>
    <t>Dotacion provisiones SRCP</t>
  </si>
  <si>
    <t>TOTAL GASTOS</t>
  </si>
  <si>
    <t>Cuotas colegiados</t>
  </si>
  <si>
    <t>Visados</t>
  </si>
  <si>
    <t>Curso Yellow Belt</t>
  </si>
  <si>
    <t>ESAMUR</t>
  </si>
  <si>
    <t>Subvenciones</t>
  </si>
  <si>
    <t>Ingresos por arrendamientos (coworking)</t>
  </si>
  <si>
    <t>Ingresos por servicios diversos</t>
  </si>
  <si>
    <t>Primas Excesos RCP</t>
  </si>
  <si>
    <t>Mutualidad Amic D.F.S.</t>
  </si>
  <si>
    <t>Cuotas colegiados Primas AMIC</t>
  </si>
  <si>
    <t>Agendas y loteria</t>
  </si>
  <si>
    <t>Otros ingresos</t>
  </si>
  <si>
    <t>Colaboraciones y patrocinios</t>
  </si>
  <si>
    <t>Intereses Plazos Fijos</t>
  </si>
  <si>
    <t>Revalorizacion de fondos de inversion</t>
  </si>
  <si>
    <t>Ajuste valor de mercado</t>
  </si>
  <si>
    <t>Bº por la venta de fondos de inversion y acciones</t>
  </si>
  <si>
    <t>Otros ingresos financieros</t>
  </si>
  <si>
    <t>Ingresos excepcionales</t>
  </si>
  <si>
    <t>Reversión del deterioro de cuotas colegio</t>
  </si>
  <si>
    <t>TOTAL INGRESOS</t>
  </si>
  <si>
    <t xml:space="preserve">RESULTADO </t>
  </si>
  <si>
    <t>Desglose del resultado</t>
  </si>
  <si>
    <t xml:space="preserve">RESULTADO FINANCIERO </t>
  </si>
  <si>
    <t>RESULTADO EXPLOTACION</t>
  </si>
  <si>
    <t>RESULTADO EXTRAORDINARIO</t>
  </si>
  <si>
    <t>TOTAL INGRESOS EXPLOTACION</t>
  </si>
  <si>
    <t>TOTAL GASTOS EXPLOTACION</t>
  </si>
  <si>
    <t>RESULTADO DE EXPLOTACION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</si>
</sst>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-c0a]mmm\-yy"/>
  </numFmts>
  <fonts count="8">
    <font>
      <sz val="11.0"/>
      <color rgb="FF000000"/>
      <name val="Calibri"/>
    </font>
    <font>
      <b/>
      <sz val="11.0"/>
      <color rgb="FF000000"/>
      <name val="Calibri"/>
    </font>
    <font>
      <b/>
      <sz val="14.0"/>
      <color rgb="FFFF0000"/>
      <name val="Calibri"/>
    </font>
    <font>
      <b/>
      <sz val="12.0"/>
      <color rgb="FF000000"/>
      <name val="Calibri"/>
    </font>
    <font>
      <b/>
      <sz val="11.0"/>
      <color theme="1"/>
      <name val="Calibri"/>
    </font>
    <font>
      <sz val="11.0"/>
      <color theme="1"/>
      <name val="Calibri"/>
    </font>
    <font>
      <b/>
      <sz val="11.0"/>
      <color rgb="FFFF0000"/>
      <name val="Calibri"/>
    </font>
    <font>
      <b/>
      <u/>
      <sz val="11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  <fill>
      <patternFill patternType="solid">
        <fgColor rgb="FF00B0F0"/>
        <bgColor rgb="FF00B0F0"/>
      </patternFill>
    </fill>
  </fills>
  <borders count="32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/>
      <right/>
      <top/>
      <bottom/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right style="medium">
        <color rgb="FF000000"/>
      </right>
      <top style="thin">
        <color rgb="FF000000"/>
      </top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77">
    <xf borderId="0" fillId="0" fontId="0" numFmtId="0" xfId="0" applyAlignment="1" applyFont="1">
      <alignment readingOrder="0" shrinkToFit="0" vertical="center" wrapText="0"/>
    </xf>
    <xf borderId="0" fillId="0" fontId="0" numFmtId="0" xfId="0" applyAlignment="1" applyFont="1">
      <alignment vertical="bottom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1" numFmtId="0" xfId="0" applyAlignment="1" applyFont="1">
      <alignment horizontal="center" vertical="bottom"/>
    </xf>
    <xf borderId="1" fillId="2" fontId="1" numFmtId="0" xfId="0" applyAlignment="1" applyBorder="1" applyFill="1" applyFont="1">
      <alignment horizontal="center" vertical="bottom"/>
    </xf>
    <xf borderId="2" fillId="2" fontId="3" numFmtId="164" xfId="0" applyAlignment="1" applyBorder="1" applyFont="1" applyNumberFormat="1">
      <alignment horizontal="right" vertical="bottom"/>
    </xf>
    <xf borderId="2" fillId="2" fontId="1" numFmtId="0" xfId="0" applyAlignment="1" applyBorder="1" applyFont="1">
      <alignment horizontal="center" vertical="bottom"/>
    </xf>
    <xf borderId="3" fillId="2" fontId="1" numFmtId="0" xfId="0" applyAlignment="1" applyBorder="1" applyFont="1">
      <alignment vertical="bottom"/>
    </xf>
    <xf borderId="2" fillId="2" fontId="1" numFmtId="0" xfId="0" applyAlignment="1" applyBorder="1" applyFont="1">
      <alignment vertical="bottom"/>
    </xf>
    <xf borderId="4" fillId="0" fontId="1" numFmtId="0" xfId="0" applyAlignment="1" applyBorder="1" applyFont="1">
      <alignment vertical="bottom"/>
    </xf>
    <xf borderId="5" fillId="0" fontId="1" numFmtId="0" xfId="0" applyAlignment="1" applyBorder="1" applyFont="1">
      <alignment vertical="bottom"/>
    </xf>
    <xf borderId="5" fillId="0" fontId="0" numFmtId="0" xfId="0" applyAlignment="1" applyBorder="1" applyFont="1">
      <alignment vertical="bottom"/>
    </xf>
    <xf borderId="6" fillId="0" fontId="4" numFmtId="4" xfId="0" applyAlignment="1" applyBorder="1" applyFont="1" applyNumberFormat="1">
      <alignment vertical="bottom"/>
    </xf>
    <xf borderId="6" fillId="0" fontId="4" numFmtId="9" xfId="0" applyAlignment="1" applyBorder="1" applyFont="1" applyNumberFormat="1">
      <alignment vertical="bottom"/>
    </xf>
    <xf borderId="0" fillId="0" fontId="4" numFmtId="9" xfId="0" applyAlignment="1" applyFont="1" applyNumberFormat="1">
      <alignment vertical="bottom"/>
    </xf>
    <xf borderId="7" fillId="0" fontId="1" numFmtId="0" xfId="0" applyAlignment="1" applyBorder="1" applyFont="1">
      <alignment vertical="bottom"/>
    </xf>
    <xf borderId="8" fillId="0" fontId="4" numFmtId="4" xfId="0" applyAlignment="1" applyBorder="1" applyFont="1" applyNumberFormat="1">
      <alignment vertical="bottom"/>
    </xf>
    <xf borderId="9" fillId="0" fontId="4" numFmtId="9" xfId="0" applyAlignment="1" applyBorder="1" applyFont="1" applyNumberFormat="1">
      <alignment vertical="bottom"/>
    </xf>
    <xf borderId="4" fillId="0" fontId="0" numFmtId="0" xfId="0" applyAlignment="1" applyBorder="1" applyFont="1">
      <alignment vertical="bottom"/>
    </xf>
    <xf borderId="10" fillId="0" fontId="5" numFmtId="4" xfId="0" applyAlignment="1" applyBorder="1" applyFont="1" applyNumberFormat="1">
      <alignment vertical="bottom"/>
    </xf>
    <xf borderId="8" fillId="0" fontId="5" numFmtId="0" xfId="0" applyAlignment="1" applyBorder="1" applyFont="1">
      <alignment vertical="bottom"/>
    </xf>
    <xf borderId="0" fillId="0" fontId="5" numFmtId="0" xfId="0" applyAlignment="1" applyFont="1">
      <alignment vertical="bottom"/>
    </xf>
    <xf borderId="7" fillId="0" fontId="0" numFmtId="0" xfId="0" applyAlignment="1" applyBorder="1" applyFont="1">
      <alignment vertical="bottom"/>
    </xf>
    <xf borderId="8" fillId="0" fontId="5" numFmtId="4" xfId="0" applyAlignment="1" applyBorder="1" applyFont="1" applyNumberFormat="1">
      <alignment vertical="bottom"/>
    </xf>
    <xf borderId="11" fillId="0" fontId="0" numFmtId="0" xfId="0" applyAlignment="1" applyBorder="1" applyFont="1">
      <alignment vertical="bottom"/>
    </xf>
    <xf borderId="12" fillId="0" fontId="0" numFmtId="0" xfId="0" applyAlignment="1" applyBorder="1" applyFont="1">
      <alignment vertical="bottom"/>
    </xf>
    <xf borderId="9" fillId="0" fontId="5" numFmtId="4" xfId="0" applyAlignment="1" applyBorder="1" applyFont="1" applyNumberFormat="1">
      <alignment vertical="bottom"/>
    </xf>
    <xf borderId="9" fillId="0" fontId="5" numFmtId="0" xfId="0" applyAlignment="1" applyBorder="1" applyFont="1">
      <alignment vertical="bottom"/>
    </xf>
    <xf borderId="10" fillId="0" fontId="4" numFmtId="4" xfId="0" applyAlignment="1" applyBorder="1" applyFont="1" applyNumberFormat="1">
      <alignment vertical="bottom"/>
    </xf>
    <xf borderId="10" fillId="0" fontId="4" numFmtId="9" xfId="0" applyAlignment="1" applyBorder="1" applyFont="1" applyNumberFormat="1">
      <alignment vertical="bottom"/>
    </xf>
    <xf borderId="10" fillId="0" fontId="5" numFmtId="9" xfId="0" applyAlignment="1" applyBorder="1" applyFont="1" applyNumberFormat="1">
      <alignment vertical="bottom"/>
    </xf>
    <xf borderId="0" fillId="0" fontId="5" numFmtId="9" xfId="0" applyAlignment="1" applyFont="1" applyNumberFormat="1">
      <alignment vertical="bottom"/>
    </xf>
    <xf borderId="8" fillId="0" fontId="5" numFmtId="9" xfId="0" applyAlignment="1" applyBorder="1" applyFont="1" applyNumberFormat="1">
      <alignment vertical="bottom"/>
    </xf>
    <xf borderId="9" fillId="0" fontId="5" numFmtId="9" xfId="0" applyAlignment="1" applyBorder="1" applyFont="1" applyNumberFormat="1">
      <alignment vertical="bottom"/>
    </xf>
    <xf borderId="9" fillId="0" fontId="4" numFmtId="4" xfId="0" applyAlignment="1" applyBorder="1" applyFont="1" applyNumberFormat="1">
      <alignment vertical="bottom"/>
    </xf>
    <xf borderId="8" fillId="0" fontId="4" numFmtId="9" xfId="0" applyAlignment="1" applyBorder="1" applyFont="1" applyNumberFormat="1">
      <alignment vertical="bottom"/>
    </xf>
    <xf borderId="13" fillId="3" fontId="5" numFmtId="4" xfId="0" applyAlignment="1" applyBorder="1" applyFill="1" applyFont="1" applyNumberFormat="1">
      <alignment vertical="bottom"/>
    </xf>
    <xf borderId="14" fillId="3" fontId="0" numFmtId="0" xfId="0" applyAlignment="1" applyBorder="1" applyFont="1">
      <alignment vertical="bottom"/>
    </xf>
    <xf borderId="11" fillId="0" fontId="1" numFmtId="0" xfId="0" applyAlignment="1" applyBorder="1" applyFont="1">
      <alignment vertical="bottom"/>
    </xf>
    <xf borderId="15" fillId="0" fontId="1" numFmtId="0" xfId="0" applyAlignment="1" applyBorder="1" applyFont="1">
      <alignment vertical="bottom"/>
    </xf>
    <xf borderId="16" fillId="0" fontId="0" numFmtId="0" xfId="0" applyAlignment="1" applyBorder="1" applyFont="1">
      <alignment vertical="bottom"/>
    </xf>
    <xf borderId="16" fillId="0" fontId="1" numFmtId="0" xfId="0" applyAlignment="1" applyBorder="1" applyFont="1">
      <alignment vertical="bottom"/>
    </xf>
    <xf borderId="17" fillId="2" fontId="4" numFmtId="4" xfId="0" applyAlignment="1" applyBorder="1" applyFont="1" applyNumberFormat="1">
      <alignment vertical="bottom"/>
    </xf>
    <xf borderId="17" fillId="2" fontId="4" numFmtId="9" xfId="0" applyAlignment="1" applyBorder="1" applyFont="1" applyNumberFormat="1">
      <alignment vertical="bottom"/>
    </xf>
    <xf borderId="0" fillId="0" fontId="0" numFmtId="4" xfId="0" applyAlignment="1" applyFont="1" applyNumberFormat="1">
      <alignment vertical="bottom"/>
    </xf>
    <xf borderId="0" fillId="0" fontId="0" numFmtId="9" xfId="0" applyAlignment="1" applyFont="1" applyNumberFormat="1">
      <alignment vertical="bottom"/>
    </xf>
    <xf borderId="2" fillId="2" fontId="1" numFmtId="164" xfId="0" applyAlignment="1" applyBorder="1" applyFont="1" applyNumberFormat="1">
      <alignment horizontal="right" vertical="bottom"/>
    </xf>
    <xf borderId="18" fillId="0" fontId="1" numFmtId="0" xfId="0" applyAlignment="1" applyBorder="1" applyFont="1">
      <alignment vertical="bottom"/>
    </xf>
    <xf borderId="19" fillId="0" fontId="1" numFmtId="0" xfId="0" applyAlignment="1" applyBorder="1" applyFont="1">
      <alignment vertical="bottom"/>
    </xf>
    <xf borderId="19" fillId="0" fontId="0" numFmtId="0" xfId="0" applyAlignment="1" applyBorder="1" applyFont="1">
      <alignment vertical="bottom"/>
    </xf>
    <xf borderId="20" fillId="0" fontId="0" numFmtId="0" xfId="0" applyAlignment="1" applyBorder="1" applyFont="1">
      <alignment vertical="bottom"/>
    </xf>
    <xf borderId="21" fillId="0" fontId="4" numFmtId="4" xfId="0" applyAlignment="1" applyBorder="1" applyFont="1" applyNumberFormat="1">
      <alignment vertical="bottom"/>
    </xf>
    <xf borderId="21" fillId="0" fontId="4" numFmtId="9" xfId="0" applyAlignment="1" applyBorder="1" applyFont="1" applyNumberFormat="1">
      <alignment vertical="bottom"/>
    </xf>
    <xf borderId="22" fillId="0" fontId="1" numFmtId="0" xfId="0" applyAlignment="1" applyBorder="1" applyFont="1">
      <alignment vertical="bottom"/>
    </xf>
    <xf borderId="23" fillId="0" fontId="0" numFmtId="0" xfId="0" applyAlignment="1" applyBorder="1" applyFont="1">
      <alignment vertical="bottom"/>
    </xf>
    <xf borderId="24" fillId="0" fontId="0" numFmtId="0" xfId="0" applyAlignment="1" applyBorder="1" applyFont="1">
      <alignment vertical="bottom"/>
    </xf>
    <xf borderId="25" fillId="0" fontId="0" numFmtId="0" xfId="0" applyAlignment="1" applyBorder="1" applyFont="1">
      <alignment vertical="bottom"/>
    </xf>
    <xf borderId="13" fillId="3" fontId="4" numFmtId="4" xfId="0" applyAlignment="1" applyBorder="1" applyFont="1" applyNumberFormat="1">
      <alignment vertical="bottom"/>
    </xf>
    <xf borderId="9" fillId="0" fontId="4" numFmtId="0" xfId="0" applyAlignment="1" applyBorder="1" applyFont="1">
      <alignment vertical="bottom"/>
    </xf>
    <xf borderId="26" fillId="0" fontId="1" numFmtId="0" xfId="0" applyAlignment="1" applyBorder="1" applyFont="1">
      <alignment vertical="bottom"/>
    </xf>
    <xf borderId="27" fillId="0" fontId="0" numFmtId="0" xfId="0" applyAlignment="1" applyBorder="1" applyFont="1">
      <alignment vertical="bottom"/>
    </xf>
    <xf borderId="28" fillId="0" fontId="1" numFmtId="0" xfId="0" applyAlignment="1" applyBorder="1" applyFont="1">
      <alignment vertical="bottom"/>
    </xf>
    <xf borderId="29" fillId="0" fontId="4" numFmtId="0" xfId="0" applyAlignment="1" applyBorder="1" applyFont="1">
      <alignment vertical="bottom"/>
    </xf>
    <xf borderId="1" fillId="2" fontId="4" numFmtId="4" xfId="0" applyAlignment="1" applyBorder="1" applyFont="1" applyNumberFormat="1">
      <alignment vertical="bottom"/>
    </xf>
    <xf borderId="1" fillId="2" fontId="6" numFmtId="4" xfId="0" applyAlignment="1" applyBorder="1" applyFont="1" applyNumberFormat="1">
      <alignment vertical="bottom"/>
    </xf>
    <xf borderId="0" fillId="0" fontId="4" numFmtId="4" xfId="0" applyAlignment="1" applyFont="1" applyNumberFormat="1">
      <alignment vertical="bottom"/>
    </xf>
    <xf borderId="0" fillId="0" fontId="5" numFmtId="4" xfId="0" applyAlignment="1" applyFont="1" applyNumberFormat="1">
      <alignment vertical="bottom"/>
    </xf>
    <xf borderId="0" fillId="0" fontId="7" numFmtId="0" xfId="0" applyAlignment="1" applyFont="1">
      <alignment vertical="bottom"/>
    </xf>
    <xf borderId="29" fillId="0" fontId="1" numFmtId="0" xfId="0" applyAlignment="1" applyBorder="1" applyFont="1">
      <alignment vertical="bottom"/>
    </xf>
    <xf borderId="1" fillId="0" fontId="4" numFmtId="4" xfId="0" applyAlignment="1" applyBorder="1" applyFont="1" applyNumberFormat="1">
      <alignment vertical="bottom"/>
    </xf>
    <xf borderId="1" fillId="0" fontId="6" numFmtId="4" xfId="0" applyAlignment="1" applyBorder="1" applyFont="1" applyNumberFormat="1">
      <alignment vertical="bottom"/>
    </xf>
    <xf borderId="0" fillId="0" fontId="6" numFmtId="4" xfId="0" applyAlignment="1" applyFont="1" applyNumberFormat="1">
      <alignment vertical="bottom"/>
    </xf>
    <xf borderId="30" fillId="2" fontId="1" numFmtId="0" xfId="0" applyAlignment="1" applyBorder="1" applyFont="1">
      <alignment vertical="bottom"/>
    </xf>
    <xf borderId="1" fillId="0" fontId="1" numFmtId="0" xfId="0" applyAlignment="1" applyBorder="1" applyFont="1">
      <alignment vertical="bottom"/>
    </xf>
    <xf borderId="1" fillId="2" fontId="1" numFmtId="0" xfId="0" applyAlignment="1" applyBorder="1" applyFont="1">
      <alignment vertical="bottom"/>
    </xf>
    <xf borderId="31" fillId="2" fontId="4" numFmtId="4" xfId="0" applyAlignment="1" applyBorder="1" applyFont="1" applyNumberForma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0"/>
    <col customWidth="1" min="2" max="2" width="5.14"/>
    <col customWidth="1" min="3" max="4" width="11.43"/>
    <col customWidth="1" min="5" max="5" width="33.43"/>
    <col customWidth="1" min="6" max="7" width="10.14"/>
    <col customWidth="1" min="8" max="8" width="10.57"/>
    <col customWidth="1" min="9" max="9" width="8.43"/>
    <col customWidth="1" min="10" max="10" width="11.43"/>
    <col customWidth="1" min="11" max="13" width="10.14"/>
    <col customWidth="1" min="14" max="14" width="10.86"/>
    <col customWidth="1" min="15" max="17" width="11.43"/>
    <col customWidth="1" min="18" max="26" width="10.0"/>
  </cols>
  <sheetData>
    <row r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2"/>
      <c r="C3" s="1"/>
      <c r="D3" s="3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2"/>
      <c r="C5" s="1"/>
      <c r="D5" s="1"/>
      <c r="E5" s="4" t="s">
        <v>1</v>
      </c>
      <c r="F5" s="1"/>
      <c r="G5" s="1"/>
      <c r="H5" s="1"/>
      <c r="I5" s="1"/>
      <c r="J5" s="1"/>
      <c r="K5" s="1"/>
      <c r="L5" s="1"/>
      <c r="M5" s="1"/>
      <c r="N5" s="5" t="s">
        <v>2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2"/>
      <c r="C6" s="1"/>
      <c r="D6" s="1"/>
      <c r="E6" s="1"/>
      <c r="F6" s="6" t="s">
        <v>3</v>
      </c>
      <c r="G6" s="7" t="s">
        <v>4</v>
      </c>
      <c r="H6" s="8" t="s">
        <v>5</v>
      </c>
      <c r="I6" s="2"/>
      <c r="J6" s="6" t="s">
        <v>6</v>
      </c>
      <c r="K6" s="7" t="s">
        <v>7</v>
      </c>
      <c r="L6" s="8" t="s">
        <v>5</v>
      </c>
      <c r="M6" s="2"/>
      <c r="N6" s="9" t="s">
        <v>8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0">
        <v>621.0</v>
      </c>
      <c r="C7" s="11" t="s">
        <v>9</v>
      </c>
      <c r="D7" s="12"/>
      <c r="E7" s="12"/>
      <c r="F7" s="13">
        <v>285.1</v>
      </c>
      <c r="G7" s="13">
        <v>2500.0</v>
      </c>
      <c r="H7" s="14">
        <f t="shared" ref="H7:H8" si="1">+F7/G7</f>
        <v>0.11404</v>
      </c>
      <c r="I7" s="15"/>
      <c r="J7" s="13">
        <v>397.26</v>
      </c>
      <c r="K7" s="13">
        <v>2000.0</v>
      </c>
      <c r="L7" s="14">
        <f t="shared" ref="L7:L8" si="2">+J7/K7</f>
        <v>0.19863</v>
      </c>
      <c r="M7" s="15"/>
      <c r="N7" s="13">
        <f t="shared" ref="N7:N65" si="3">+J7-F7</f>
        <v>112.16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6">
        <v>622.0</v>
      </c>
      <c r="C8" s="2" t="s">
        <v>10</v>
      </c>
      <c r="D8" s="1"/>
      <c r="E8" s="1"/>
      <c r="F8" s="17">
        <f>+F9+F10+F11+F12+F13</f>
        <v>2700.21</v>
      </c>
      <c r="G8" s="17">
        <v>14000.0</v>
      </c>
      <c r="H8" s="18">
        <f t="shared" si="1"/>
        <v>0.1928721429</v>
      </c>
      <c r="I8" s="15"/>
      <c r="J8" s="17">
        <f>SUM(J9:J13)</f>
        <v>2072.07</v>
      </c>
      <c r="K8" s="17">
        <v>12500.0</v>
      </c>
      <c r="L8" s="18">
        <f t="shared" si="2"/>
        <v>0.1657656</v>
      </c>
      <c r="M8" s="15"/>
      <c r="N8" s="17">
        <f t="shared" si="3"/>
        <v>-628.14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6"/>
      <c r="C9" s="19" t="s">
        <v>11</v>
      </c>
      <c r="D9" s="12"/>
      <c r="E9" s="12"/>
      <c r="F9" s="20">
        <v>863.17</v>
      </c>
      <c r="G9" s="20"/>
      <c r="H9" s="21"/>
      <c r="I9" s="22"/>
      <c r="J9" s="20">
        <v>877.44</v>
      </c>
      <c r="K9" s="20"/>
      <c r="L9" s="21"/>
      <c r="M9" s="22"/>
      <c r="N9" s="20">
        <f t="shared" si="3"/>
        <v>14.27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16"/>
      <c r="C10" s="23" t="s">
        <v>12</v>
      </c>
      <c r="D10" s="1"/>
      <c r="E10" s="1"/>
      <c r="F10" s="24">
        <v>515.24</v>
      </c>
      <c r="G10" s="24"/>
      <c r="H10" s="21"/>
      <c r="I10" s="22"/>
      <c r="J10" s="24">
        <v>0.0</v>
      </c>
      <c r="K10" s="24"/>
      <c r="L10" s="21"/>
      <c r="M10" s="22"/>
      <c r="N10" s="24">
        <f t="shared" si="3"/>
        <v>-515.24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6"/>
      <c r="C11" s="23" t="s">
        <v>13</v>
      </c>
      <c r="D11" s="1"/>
      <c r="E11" s="1"/>
      <c r="F11" s="24">
        <v>494.7</v>
      </c>
      <c r="G11" s="24"/>
      <c r="H11" s="21"/>
      <c r="I11" s="22"/>
      <c r="J11" s="24">
        <v>498.66</v>
      </c>
      <c r="K11" s="24"/>
      <c r="L11" s="21"/>
      <c r="M11" s="22"/>
      <c r="N11" s="24">
        <f t="shared" si="3"/>
        <v>3.96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6"/>
      <c r="C12" s="23" t="s">
        <v>14</v>
      </c>
      <c r="D12" s="1"/>
      <c r="E12" s="1"/>
      <c r="F12" s="24">
        <v>708.99</v>
      </c>
      <c r="G12" s="24"/>
      <c r="H12" s="21"/>
      <c r="I12" s="22"/>
      <c r="J12" s="24">
        <v>576.09</v>
      </c>
      <c r="K12" s="24"/>
      <c r="L12" s="21"/>
      <c r="M12" s="22"/>
      <c r="N12" s="24">
        <f t="shared" si="3"/>
        <v>-132.9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16"/>
      <c r="C13" s="25" t="s">
        <v>15</v>
      </c>
      <c r="D13" s="26"/>
      <c r="E13" s="26"/>
      <c r="F13" s="24">
        <v>118.11</v>
      </c>
      <c r="G13" s="27"/>
      <c r="H13" s="28"/>
      <c r="I13" s="22"/>
      <c r="J13" s="24">
        <v>119.88</v>
      </c>
      <c r="K13" s="27"/>
      <c r="L13" s="28"/>
      <c r="M13" s="22"/>
      <c r="N13" s="27">
        <f t="shared" si="3"/>
        <v>1.77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6">
        <v>623.0</v>
      </c>
      <c r="C14" s="2" t="s">
        <v>16</v>
      </c>
      <c r="D14" s="1"/>
      <c r="E14" s="1"/>
      <c r="F14" s="29">
        <f>+F15+F17+F18+F19+F20</f>
        <v>13092.25</v>
      </c>
      <c r="G14" s="17">
        <f>SUM(G15:G20)</f>
        <v>78844.3</v>
      </c>
      <c r="H14" s="30">
        <f t="shared" ref="H14:H65" si="4">+F14/G14</f>
        <v>0.166051953</v>
      </c>
      <c r="I14" s="15"/>
      <c r="J14" s="13">
        <f>SUM(J15:J21)</f>
        <v>16165.8</v>
      </c>
      <c r="K14" s="13">
        <v>40700.0</v>
      </c>
      <c r="L14" s="30">
        <f t="shared" ref="L14:L65" si="5">+J14/K14</f>
        <v>0.3971941032</v>
      </c>
      <c r="M14" s="15"/>
      <c r="N14" s="13">
        <f t="shared" si="3"/>
        <v>3073.55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16"/>
      <c r="C15" s="19" t="s">
        <v>17</v>
      </c>
      <c r="D15" s="12"/>
      <c r="E15" s="12"/>
      <c r="F15" s="20">
        <v>1710.0</v>
      </c>
      <c r="G15" s="20">
        <v>8000.0</v>
      </c>
      <c r="H15" s="31">
        <f t="shared" si="4"/>
        <v>0.21375</v>
      </c>
      <c r="I15" s="32"/>
      <c r="J15" s="20">
        <f>1200+450</f>
        <v>1650</v>
      </c>
      <c r="K15" s="24">
        <v>8000.0</v>
      </c>
      <c r="L15" s="31">
        <f t="shared" si="5"/>
        <v>0.20625</v>
      </c>
      <c r="M15" s="32"/>
      <c r="N15" s="24">
        <f t="shared" si="3"/>
        <v>-60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6"/>
      <c r="C16" s="23" t="s">
        <v>18</v>
      </c>
      <c r="D16" s="1"/>
      <c r="E16" s="1"/>
      <c r="F16" s="24">
        <v>0.0</v>
      </c>
      <c r="G16" s="24">
        <v>0.0</v>
      </c>
      <c r="H16" s="33" t="str">
        <f t="shared" si="4"/>
        <v>#DIV/0!</v>
      </c>
      <c r="I16" s="32"/>
      <c r="J16" s="24">
        <v>0.0</v>
      </c>
      <c r="K16" s="24">
        <v>2200.0</v>
      </c>
      <c r="L16" s="33">
        <f t="shared" si="5"/>
        <v>0</v>
      </c>
      <c r="M16" s="32"/>
      <c r="N16" s="24">
        <f t="shared" si="3"/>
        <v>0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6"/>
      <c r="C17" s="23" t="s">
        <v>19</v>
      </c>
      <c r="D17" s="1"/>
      <c r="E17" s="1"/>
      <c r="F17" s="24">
        <v>437.75</v>
      </c>
      <c r="G17" s="24">
        <v>6000.0</v>
      </c>
      <c r="H17" s="33">
        <f t="shared" si="4"/>
        <v>0.07295833333</v>
      </c>
      <c r="I17" s="32"/>
      <c r="J17" s="24">
        <v>1050.6</v>
      </c>
      <c r="K17" s="24">
        <v>6500.0</v>
      </c>
      <c r="L17" s="33">
        <f t="shared" si="5"/>
        <v>0.1616307692</v>
      </c>
      <c r="M17" s="32"/>
      <c r="N17" s="24">
        <f t="shared" si="3"/>
        <v>612.85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6"/>
      <c r="C18" s="23" t="s">
        <v>20</v>
      </c>
      <c r="D18" s="1"/>
      <c r="E18" s="1"/>
      <c r="F18" s="24">
        <v>8104.5</v>
      </c>
      <c r="G18" s="24">
        <v>14000.0</v>
      </c>
      <c r="H18" s="33">
        <f t="shared" si="4"/>
        <v>0.5788928571</v>
      </c>
      <c r="I18" s="32"/>
      <c r="J18" s="24">
        <v>3965.2</v>
      </c>
      <c r="K18" s="24">
        <v>18000.0</v>
      </c>
      <c r="L18" s="33">
        <f t="shared" si="5"/>
        <v>0.2202888889</v>
      </c>
      <c r="M18" s="32"/>
      <c r="N18" s="24">
        <f t="shared" si="3"/>
        <v>-4139.3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6"/>
      <c r="C19" s="23" t="s">
        <v>21</v>
      </c>
      <c r="D19" s="1"/>
      <c r="E19" s="1"/>
      <c r="F19" s="24">
        <v>0.0</v>
      </c>
      <c r="G19" s="24">
        <v>47844.3</v>
      </c>
      <c r="H19" s="33">
        <f t="shared" si="4"/>
        <v>0</v>
      </c>
      <c r="I19" s="32"/>
      <c r="J19" s="24">
        <v>0.0</v>
      </c>
      <c r="K19" s="24">
        <v>0.0</v>
      </c>
      <c r="L19" s="33" t="str">
        <f t="shared" si="5"/>
        <v>#DIV/0!</v>
      </c>
      <c r="M19" s="32"/>
      <c r="N19" s="24">
        <f t="shared" si="3"/>
        <v>0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6"/>
      <c r="C20" s="23" t="s">
        <v>22</v>
      </c>
      <c r="D20" s="1"/>
      <c r="E20" s="1"/>
      <c r="F20" s="24">
        <v>2840.0</v>
      </c>
      <c r="G20" s="24">
        <v>3000.0</v>
      </c>
      <c r="H20" s="33">
        <f t="shared" si="4"/>
        <v>0.9466666667</v>
      </c>
      <c r="I20" s="32"/>
      <c r="J20" s="24">
        <v>0.0</v>
      </c>
      <c r="K20" s="24">
        <v>5000.0</v>
      </c>
      <c r="L20" s="33">
        <f t="shared" si="5"/>
        <v>0</v>
      </c>
      <c r="M20" s="32"/>
      <c r="N20" s="24">
        <f t="shared" si="3"/>
        <v>-2840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6"/>
      <c r="C21" s="25" t="s">
        <v>23</v>
      </c>
      <c r="D21" s="26"/>
      <c r="E21" s="26"/>
      <c r="F21" s="27">
        <v>0.0</v>
      </c>
      <c r="G21" s="27">
        <v>0.0</v>
      </c>
      <c r="H21" s="34" t="str">
        <f t="shared" si="4"/>
        <v>#DIV/0!</v>
      </c>
      <c r="I21" s="32"/>
      <c r="J21" s="24">
        <v>9500.0</v>
      </c>
      <c r="K21" s="27">
        <v>1000.0</v>
      </c>
      <c r="L21" s="34">
        <f t="shared" si="5"/>
        <v>9.5</v>
      </c>
      <c r="M21" s="32"/>
      <c r="N21" s="27">
        <f t="shared" si="3"/>
        <v>9500</v>
      </c>
      <c r="O21" s="1" t="s">
        <v>24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6">
        <v>625.0</v>
      </c>
      <c r="C22" s="2" t="s">
        <v>25</v>
      </c>
      <c r="D22" s="1"/>
      <c r="E22" s="1"/>
      <c r="F22" s="35">
        <f>+F23+F24+F25</f>
        <v>5290.72</v>
      </c>
      <c r="G22" s="17">
        <f>SUM(G23:G25)</f>
        <v>77500</v>
      </c>
      <c r="H22" s="18">
        <f t="shared" si="4"/>
        <v>0.06826735484</v>
      </c>
      <c r="I22" s="15"/>
      <c r="J22" s="13">
        <f>SUM(J23:J25)</f>
        <v>4715.53</v>
      </c>
      <c r="K22" s="17">
        <v>89300.0</v>
      </c>
      <c r="L22" s="18">
        <f t="shared" si="5"/>
        <v>0.05280548712</v>
      </c>
      <c r="M22" s="15"/>
      <c r="N22" s="17">
        <f t="shared" si="3"/>
        <v>-575.19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6"/>
      <c r="C23" s="19" t="s">
        <v>26</v>
      </c>
      <c r="D23" s="12"/>
      <c r="E23" s="12"/>
      <c r="F23" s="20">
        <v>0.0</v>
      </c>
      <c r="G23" s="20">
        <v>60000.0</v>
      </c>
      <c r="H23" s="33">
        <f t="shared" si="4"/>
        <v>0</v>
      </c>
      <c r="I23" s="32"/>
      <c r="J23" s="20"/>
      <c r="K23" s="20">
        <v>70000.0</v>
      </c>
      <c r="L23" s="33">
        <f t="shared" si="5"/>
        <v>0</v>
      </c>
      <c r="M23" s="32"/>
      <c r="N23" s="20">
        <f t="shared" si="3"/>
        <v>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6"/>
      <c r="C24" s="23" t="s">
        <v>27</v>
      </c>
      <c r="D24" s="1"/>
      <c r="E24" s="1"/>
      <c r="F24" s="24">
        <v>4563.39</v>
      </c>
      <c r="G24" s="24">
        <v>15000.0</v>
      </c>
      <c r="H24" s="33">
        <f t="shared" si="4"/>
        <v>0.304226</v>
      </c>
      <c r="I24" s="32"/>
      <c r="J24" s="24">
        <v>4214.89</v>
      </c>
      <c r="K24" s="24">
        <v>18000.0</v>
      </c>
      <c r="L24" s="33">
        <f t="shared" si="5"/>
        <v>0.2341605556</v>
      </c>
      <c r="M24" s="32"/>
      <c r="N24" s="24">
        <f t="shared" si="3"/>
        <v>-348.5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6"/>
      <c r="C25" s="25" t="s">
        <v>28</v>
      </c>
      <c r="D25" s="26"/>
      <c r="E25" s="26"/>
      <c r="F25" s="24">
        <v>727.33</v>
      </c>
      <c r="G25" s="27">
        <v>2500.0</v>
      </c>
      <c r="H25" s="34">
        <f t="shared" si="4"/>
        <v>0.290932</v>
      </c>
      <c r="I25" s="32"/>
      <c r="J25" s="24">
        <v>500.64</v>
      </c>
      <c r="K25" s="27">
        <v>1300.0</v>
      </c>
      <c r="L25" s="34">
        <f t="shared" si="5"/>
        <v>0.3851076923</v>
      </c>
      <c r="M25" s="32"/>
      <c r="N25" s="27">
        <f t="shared" si="3"/>
        <v>-226.69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6">
        <v>626.0</v>
      </c>
      <c r="C26" s="2" t="s">
        <v>29</v>
      </c>
      <c r="D26" s="1"/>
      <c r="E26" s="1"/>
      <c r="F26" s="29">
        <v>511.93</v>
      </c>
      <c r="G26" s="17">
        <v>250.0</v>
      </c>
      <c r="H26" s="36">
        <f t="shared" si="4"/>
        <v>2.04772</v>
      </c>
      <c r="I26" s="15"/>
      <c r="J26" s="29">
        <v>29.2</v>
      </c>
      <c r="K26" s="17">
        <v>1250.0</v>
      </c>
      <c r="L26" s="36">
        <f t="shared" si="5"/>
        <v>0.02336</v>
      </c>
      <c r="M26" s="15"/>
      <c r="N26" s="17">
        <f t="shared" si="3"/>
        <v>-482.73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6">
        <v>627.0</v>
      </c>
      <c r="C27" s="2" t="s">
        <v>30</v>
      </c>
      <c r="D27" s="1"/>
      <c r="E27" s="1"/>
      <c r="F27" s="17">
        <v>1032.0</v>
      </c>
      <c r="G27" s="17">
        <v>8000.0</v>
      </c>
      <c r="H27" s="36">
        <f t="shared" si="4"/>
        <v>0.129</v>
      </c>
      <c r="I27" s="15"/>
      <c r="J27" s="17">
        <v>350.0</v>
      </c>
      <c r="K27" s="17">
        <v>8000.0</v>
      </c>
      <c r="L27" s="36">
        <f t="shared" si="5"/>
        <v>0.04375</v>
      </c>
      <c r="M27" s="15"/>
      <c r="N27" s="17">
        <f t="shared" si="3"/>
        <v>-682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6">
        <v>628.0</v>
      </c>
      <c r="C28" s="2" t="s">
        <v>31</v>
      </c>
      <c r="D28" s="1"/>
      <c r="E28" s="1"/>
      <c r="F28" s="17">
        <v>1909.78</v>
      </c>
      <c r="G28" s="17">
        <v>10000.0</v>
      </c>
      <c r="H28" s="36">
        <f t="shared" si="4"/>
        <v>0.190978</v>
      </c>
      <c r="I28" s="15"/>
      <c r="J28" s="17">
        <f>872.65+146.2</f>
        <v>1018.85</v>
      </c>
      <c r="K28" s="17">
        <v>6000.0</v>
      </c>
      <c r="L28" s="36">
        <f t="shared" si="5"/>
        <v>0.1698083333</v>
      </c>
      <c r="M28" s="15"/>
      <c r="N28" s="17">
        <f t="shared" si="3"/>
        <v>-890.93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6">
        <v>629.0</v>
      </c>
      <c r="C29" s="2" t="s">
        <v>32</v>
      </c>
      <c r="D29" s="1"/>
      <c r="E29" s="1"/>
      <c r="F29" s="35">
        <f t="shared" ref="F29:G29" si="6">SUM(F30:F49)</f>
        <v>8199.53</v>
      </c>
      <c r="G29" s="17">
        <f t="shared" si="6"/>
        <v>62700</v>
      </c>
      <c r="H29" s="18">
        <f t="shared" si="4"/>
        <v>0.1307740032</v>
      </c>
      <c r="I29" s="15"/>
      <c r="J29" s="35">
        <f>SUM(J30:J49)</f>
        <v>5066.44</v>
      </c>
      <c r="K29" s="17">
        <v>46600.0</v>
      </c>
      <c r="L29" s="18">
        <f t="shared" si="5"/>
        <v>0.1087218884</v>
      </c>
      <c r="M29" s="15"/>
      <c r="N29" s="17">
        <f t="shared" si="3"/>
        <v>-3133.09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6"/>
      <c r="C30" s="19" t="s">
        <v>33</v>
      </c>
      <c r="D30" s="12"/>
      <c r="E30" s="12"/>
      <c r="F30" s="24">
        <v>1351.35</v>
      </c>
      <c r="G30" s="20">
        <v>6200.0</v>
      </c>
      <c r="H30" s="33">
        <f t="shared" si="4"/>
        <v>0.2179596774</v>
      </c>
      <c r="I30" s="32"/>
      <c r="J30" s="24">
        <v>1204.31</v>
      </c>
      <c r="K30" s="20">
        <v>5600.0</v>
      </c>
      <c r="L30" s="33">
        <f t="shared" si="5"/>
        <v>0.2150553571</v>
      </c>
      <c r="M30" s="32"/>
      <c r="N30" s="20">
        <f t="shared" si="3"/>
        <v>-147.04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6"/>
      <c r="C31" s="23" t="s">
        <v>34</v>
      </c>
      <c r="D31" s="1"/>
      <c r="E31" s="1"/>
      <c r="F31" s="24">
        <v>726.03</v>
      </c>
      <c r="G31" s="24">
        <v>1000.0</v>
      </c>
      <c r="H31" s="33">
        <f t="shared" si="4"/>
        <v>0.72603</v>
      </c>
      <c r="I31" s="32"/>
      <c r="J31" s="24">
        <v>29.82</v>
      </c>
      <c r="K31" s="24">
        <v>1500.0</v>
      </c>
      <c r="L31" s="33">
        <f t="shared" si="5"/>
        <v>0.01988</v>
      </c>
      <c r="M31" s="32"/>
      <c r="N31" s="24">
        <f t="shared" si="3"/>
        <v>-696.21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6"/>
      <c r="C32" s="23" t="s">
        <v>35</v>
      </c>
      <c r="D32" s="1"/>
      <c r="E32" s="1"/>
      <c r="F32" s="24">
        <v>748.74</v>
      </c>
      <c r="G32" s="24">
        <v>5500.0</v>
      </c>
      <c r="H32" s="33">
        <f t="shared" si="4"/>
        <v>0.1361345455</v>
      </c>
      <c r="I32" s="32"/>
      <c r="J32" s="24">
        <f>272.16+210</f>
        <v>482.16</v>
      </c>
      <c r="K32" s="24">
        <v>2000.0</v>
      </c>
      <c r="L32" s="33">
        <f t="shared" si="5"/>
        <v>0.24108</v>
      </c>
      <c r="M32" s="32"/>
      <c r="N32" s="24">
        <f t="shared" si="3"/>
        <v>-266.58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6"/>
      <c r="C33" s="23" t="s">
        <v>36</v>
      </c>
      <c r="D33" s="1"/>
      <c r="E33" s="1"/>
      <c r="F33" s="24">
        <v>19.32</v>
      </c>
      <c r="G33" s="24">
        <v>500.0</v>
      </c>
      <c r="H33" s="33">
        <f t="shared" si="4"/>
        <v>0.03864</v>
      </c>
      <c r="I33" s="32"/>
      <c r="J33" s="24"/>
      <c r="K33" s="24">
        <v>0.0</v>
      </c>
      <c r="L33" s="33" t="str">
        <f t="shared" si="5"/>
        <v>#DIV/0!</v>
      </c>
      <c r="M33" s="32"/>
      <c r="N33" s="24">
        <f t="shared" si="3"/>
        <v>-19.32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6"/>
      <c r="C34" s="23" t="s">
        <v>37</v>
      </c>
      <c r="D34" s="1"/>
      <c r="E34" s="1"/>
      <c r="F34" s="24">
        <v>1113.35</v>
      </c>
      <c r="G34" s="24">
        <v>4000.0</v>
      </c>
      <c r="H34" s="33">
        <f t="shared" si="4"/>
        <v>0.2783375</v>
      </c>
      <c r="I34" s="32"/>
      <c r="J34" s="24">
        <v>750.05</v>
      </c>
      <c r="K34" s="24">
        <v>3000.0</v>
      </c>
      <c r="L34" s="33">
        <f t="shared" si="5"/>
        <v>0.2500166667</v>
      </c>
      <c r="M34" s="32"/>
      <c r="N34" s="24">
        <f t="shared" si="3"/>
        <v>-363.3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6"/>
      <c r="C35" s="23" t="s">
        <v>38</v>
      </c>
      <c r="D35" s="1"/>
      <c r="E35" s="1"/>
      <c r="F35" s="24">
        <v>692.15</v>
      </c>
      <c r="G35" s="24">
        <v>2500.0</v>
      </c>
      <c r="H35" s="33">
        <f t="shared" si="4"/>
        <v>0.27686</v>
      </c>
      <c r="I35" s="32"/>
      <c r="J35" s="24">
        <f>55.8+96.85</f>
        <v>152.65</v>
      </c>
      <c r="K35" s="24">
        <v>2500.0</v>
      </c>
      <c r="L35" s="33">
        <f t="shared" si="5"/>
        <v>0.06106</v>
      </c>
      <c r="M35" s="32"/>
      <c r="N35" s="24">
        <f t="shared" si="3"/>
        <v>-539.5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6"/>
      <c r="C36" s="23" t="s">
        <v>39</v>
      </c>
      <c r="D36" s="1"/>
      <c r="E36" s="1"/>
      <c r="F36" s="24">
        <v>0.0</v>
      </c>
      <c r="G36" s="24">
        <v>2000.0</v>
      </c>
      <c r="H36" s="33">
        <f t="shared" si="4"/>
        <v>0</v>
      </c>
      <c r="I36" s="32"/>
      <c r="J36" s="24"/>
      <c r="K36" s="24">
        <v>3000.0</v>
      </c>
      <c r="L36" s="33">
        <f t="shared" si="5"/>
        <v>0</v>
      </c>
      <c r="M36" s="32"/>
      <c r="N36" s="24">
        <f t="shared" si="3"/>
        <v>0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6"/>
      <c r="C37" s="23" t="s">
        <v>40</v>
      </c>
      <c r="D37" s="1"/>
      <c r="E37" s="1"/>
      <c r="F37" s="24">
        <v>0.0</v>
      </c>
      <c r="G37" s="24">
        <v>1000.0</v>
      </c>
      <c r="H37" s="33">
        <f t="shared" si="4"/>
        <v>0</v>
      </c>
      <c r="I37" s="32"/>
      <c r="J37" s="24"/>
      <c r="K37" s="24">
        <v>1000.0</v>
      </c>
      <c r="L37" s="33">
        <f t="shared" si="5"/>
        <v>0</v>
      </c>
      <c r="M37" s="32"/>
      <c r="N37" s="24">
        <f t="shared" si="3"/>
        <v>0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6"/>
      <c r="C38" s="23" t="s">
        <v>41</v>
      </c>
      <c r="D38" s="1"/>
      <c r="E38" s="1"/>
      <c r="F38" s="24">
        <v>1693.28</v>
      </c>
      <c r="G38" s="24">
        <v>6000.0</v>
      </c>
      <c r="H38" s="33">
        <f t="shared" si="4"/>
        <v>0.2822133333</v>
      </c>
      <c r="I38" s="32"/>
      <c r="J38" s="24">
        <v>2174.78</v>
      </c>
      <c r="K38" s="24">
        <v>7500.0</v>
      </c>
      <c r="L38" s="33">
        <f t="shared" si="5"/>
        <v>0.2899706667</v>
      </c>
      <c r="M38" s="32"/>
      <c r="N38" s="24">
        <f t="shared" si="3"/>
        <v>481.5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6"/>
      <c r="C39" s="23" t="s">
        <v>42</v>
      </c>
      <c r="D39" s="1"/>
      <c r="E39" s="1"/>
      <c r="F39" s="24">
        <v>367.15</v>
      </c>
      <c r="G39" s="24">
        <v>0.0</v>
      </c>
      <c r="H39" s="33" t="str">
        <f t="shared" si="4"/>
        <v>#DIV/0!</v>
      </c>
      <c r="I39" s="32"/>
      <c r="J39" s="24"/>
      <c r="K39" s="24">
        <v>500.0</v>
      </c>
      <c r="L39" s="33">
        <f t="shared" si="5"/>
        <v>0</v>
      </c>
      <c r="M39" s="32"/>
      <c r="N39" s="24">
        <f t="shared" si="3"/>
        <v>-367.15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6"/>
      <c r="C40" s="23" t="s">
        <v>43</v>
      </c>
      <c r="D40" s="1"/>
      <c r="E40" s="1"/>
      <c r="F40" s="24">
        <v>0.0</v>
      </c>
      <c r="G40" s="24">
        <v>400.0</v>
      </c>
      <c r="H40" s="33">
        <f t="shared" si="4"/>
        <v>0</v>
      </c>
      <c r="I40" s="32"/>
      <c r="J40" s="24"/>
      <c r="K40" s="24">
        <v>400.0</v>
      </c>
      <c r="L40" s="33">
        <f t="shared" si="5"/>
        <v>0</v>
      </c>
      <c r="M40" s="32"/>
      <c r="N40" s="24">
        <f t="shared" si="3"/>
        <v>0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6"/>
      <c r="C41" s="23" t="s">
        <v>44</v>
      </c>
      <c r="D41" s="1"/>
      <c r="E41" s="1"/>
      <c r="F41" s="24">
        <v>493.05</v>
      </c>
      <c r="G41" s="24">
        <v>500.0</v>
      </c>
      <c r="H41" s="33">
        <f t="shared" si="4"/>
        <v>0.9861</v>
      </c>
      <c r="I41" s="32"/>
      <c r="J41" s="24"/>
      <c r="K41" s="24">
        <v>500.0</v>
      </c>
      <c r="L41" s="33">
        <f t="shared" si="5"/>
        <v>0</v>
      </c>
      <c r="M41" s="32"/>
      <c r="N41" s="24">
        <f t="shared" si="3"/>
        <v>-493.05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6"/>
      <c r="C42" s="23" t="s">
        <v>45</v>
      </c>
      <c r="D42" s="1"/>
      <c r="E42" s="1"/>
      <c r="F42" s="24">
        <v>269.62</v>
      </c>
      <c r="G42" s="24">
        <v>1000.0</v>
      </c>
      <c r="H42" s="33">
        <f t="shared" si="4"/>
        <v>0.26962</v>
      </c>
      <c r="I42" s="32"/>
      <c r="J42" s="24"/>
      <c r="K42" s="24">
        <v>1500.0</v>
      </c>
      <c r="L42" s="33">
        <f t="shared" si="5"/>
        <v>0</v>
      </c>
      <c r="M42" s="32"/>
      <c r="N42" s="24">
        <f t="shared" si="3"/>
        <v>-269.62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6"/>
      <c r="C43" s="23" t="s">
        <v>46</v>
      </c>
      <c r="D43" s="1"/>
      <c r="E43" s="1"/>
      <c r="F43" s="24">
        <v>95.29</v>
      </c>
      <c r="G43" s="24">
        <v>3000.0</v>
      </c>
      <c r="H43" s="33">
        <f t="shared" si="4"/>
        <v>0.03176333333</v>
      </c>
      <c r="I43" s="32"/>
      <c r="J43" s="24">
        <v>198.23</v>
      </c>
      <c r="K43" s="24">
        <v>600.0</v>
      </c>
      <c r="L43" s="33">
        <f t="shared" si="5"/>
        <v>0.3303833333</v>
      </c>
      <c r="M43" s="32"/>
      <c r="N43" s="24">
        <f t="shared" si="3"/>
        <v>102.94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6"/>
      <c r="C44" s="23" t="s">
        <v>47</v>
      </c>
      <c r="D44" s="1"/>
      <c r="E44" s="1"/>
      <c r="F44" s="24">
        <v>217.57</v>
      </c>
      <c r="G44" s="24">
        <v>3500.0</v>
      </c>
      <c r="H44" s="33">
        <f t="shared" si="4"/>
        <v>0.06216285714</v>
      </c>
      <c r="I44" s="32"/>
      <c r="J44" s="24">
        <v>74.44</v>
      </c>
      <c r="K44" s="24">
        <v>3000.0</v>
      </c>
      <c r="L44" s="33">
        <f t="shared" si="5"/>
        <v>0.02481333333</v>
      </c>
      <c r="M44" s="32"/>
      <c r="N44" s="24">
        <f t="shared" si="3"/>
        <v>-143.13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6"/>
      <c r="C45" s="23" t="s">
        <v>48</v>
      </c>
      <c r="D45" s="1"/>
      <c r="E45" s="1"/>
      <c r="F45" s="24">
        <v>97.75</v>
      </c>
      <c r="G45" s="24">
        <v>1500.0</v>
      </c>
      <c r="H45" s="33">
        <f t="shared" si="4"/>
        <v>0.06516666667</v>
      </c>
      <c r="I45" s="32"/>
      <c r="J45" s="24"/>
      <c r="K45" s="24">
        <v>1000.0</v>
      </c>
      <c r="L45" s="33">
        <f t="shared" si="5"/>
        <v>0</v>
      </c>
      <c r="M45" s="32"/>
      <c r="N45" s="24">
        <f t="shared" si="3"/>
        <v>-97.75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6"/>
      <c r="C46" s="23" t="s">
        <v>49</v>
      </c>
      <c r="D46" s="1"/>
      <c r="E46" s="1"/>
      <c r="F46" s="24">
        <v>314.88</v>
      </c>
      <c r="G46" s="24">
        <v>1000.0</v>
      </c>
      <c r="H46" s="33">
        <f t="shared" si="4"/>
        <v>0.31488</v>
      </c>
      <c r="I46" s="32"/>
      <c r="J46" s="24"/>
      <c r="K46" s="24">
        <v>1000.0</v>
      </c>
      <c r="L46" s="33">
        <f t="shared" si="5"/>
        <v>0</v>
      </c>
      <c r="M46" s="32"/>
      <c r="N46" s="24">
        <f t="shared" si="3"/>
        <v>-314.88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6"/>
      <c r="C47" s="23" t="s">
        <v>50</v>
      </c>
      <c r="D47" s="1"/>
      <c r="E47" s="1"/>
      <c r="F47" s="24">
        <v>0.0</v>
      </c>
      <c r="G47" s="24">
        <v>0.0</v>
      </c>
      <c r="H47" s="33" t="str">
        <f t="shared" si="4"/>
        <v>#DIV/0!</v>
      </c>
      <c r="I47" s="32"/>
      <c r="J47" s="24"/>
      <c r="K47" s="24">
        <v>1000.0</v>
      </c>
      <c r="L47" s="33">
        <f t="shared" si="5"/>
        <v>0</v>
      </c>
      <c r="M47" s="32"/>
      <c r="N47" s="24">
        <f t="shared" si="3"/>
        <v>0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6"/>
      <c r="C48" s="23" t="s">
        <v>51</v>
      </c>
      <c r="D48" s="1"/>
      <c r="E48" s="1"/>
      <c r="F48" s="24">
        <v>0.0</v>
      </c>
      <c r="G48" s="24">
        <v>22600.0</v>
      </c>
      <c r="H48" s="33">
        <f t="shared" si="4"/>
        <v>0</v>
      </c>
      <c r="I48" s="32"/>
      <c r="J48" s="24"/>
      <c r="K48" s="24">
        <v>10500.0</v>
      </c>
      <c r="L48" s="33">
        <f t="shared" si="5"/>
        <v>0</v>
      </c>
      <c r="M48" s="32"/>
      <c r="N48" s="24">
        <f t="shared" si="3"/>
        <v>0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6"/>
      <c r="C49" s="25" t="s">
        <v>52</v>
      </c>
      <c r="D49" s="26"/>
      <c r="E49" s="26"/>
      <c r="F49" s="27">
        <v>0.0</v>
      </c>
      <c r="G49" s="27">
        <v>500.0</v>
      </c>
      <c r="H49" s="34">
        <f t="shared" si="4"/>
        <v>0</v>
      </c>
      <c r="I49" s="32"/>
      <c r="J49" s="27"/>
      <c r="K49" s="27">
        <v>500.0</v>
      </c>
      <c r="L49" s="34">
        <f t="shared" si="5"/>
        <v>0</v>
      </c>
      <c r="M49" s="32"/>
      <c r="N49" s="27">
        <f t="shared" si="3"/>
        <v>0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6">
        <v>631.0</v>
      </c>
      <c r="C50" s="2" t="s">
        <v>53</v>
      </c>
      <c r="D50" s="1"/>
      <c r="E50" s="2"/>
      <c r="F50" s="24">
        <v>30.16</v>
      </c>
      <c r="G50" s="24">
        <v>4500.0</v>
      </c>
      <c r="H50" s="33">
        <f t="shared" si="4"/>
        <v>0.006702222222</v>
      </c>
      <c r="I50" s="32"/>
      <c r="J50" s="24">
        <v>16.16</v>
      </c>
      <c r="K50" s="24">
        <v>4500.0</v>
      </c>
      <c r="L50" s="33">
        <f t="shared" si="5"/>
        <v>0.003591111111</v>
      </c>
      <c r="M50" s="32"/>
      <c r="N50" s="24">
        <f t="shared" si="3"/>
        <v>-14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6">
        <v>634.0</v>
      </c>
      <c r="C51" s="2" t="s">
        <v>54</v>
      </c>
      <c r="D51" s="1"/>
      <c r="E51" s="2"/>
      <c r="F51" s="24">
        <v>3500.13</v>
      </c>
      <c r="G51" s="24">
        <v>12000.0</v>
      </c>
      <c r="H51" s="33">
        <f t="shared" si="4"/>
        <v>0.2916775</v>
      </c>
      <c r="I51" s="32"/>
      <c r="J51" s="24">
        <v>3500.0</v>
      </c>
      <c r="K51" s="24">
        <v>12000.0</v>
      </c>
      <c r="L51" s="33">
        <f t="shared" si="5"/>
        <v>0.2916666667</v>
      </c>
      <c r="M51" s="32"/>
      <c r="N51" s="24">
        <f t="shared" si="3"/>
        <v>-0.13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6">
        <v>640.0</v>
      </c>
      <c r="C52" s="2" t="s">
        <v>55</v>
      </c>
      <c r="D52" s="1"/>
      <c r="E52" s="1"/>
      <c r="F52" s="24">
        <v>33871.54</v>
      </c>
      <c r="G52" s="24">
        <v>106100.0</v>
      </c>
      <c r="H52" s="33">
        <f t="shared" si="4"/>
        <v>0.3192416588</v>
      </c>
      <c r="I52" s="32"/>
      <c r="J52" s="24">
        <v>17650.72</v>
      </c>
      <c r="K52" s="24">
        <v>95000.0</v>
      </c>
      <c r="L52" s="33">
        <f t="shared" si="5"/>
        <v>0.1857970526</v>
      </c>
      <c r="M52" s="32"/>
      <c r="N52" s="24">
        <f t="shared" si="3"/>
        <v>-16220.82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6">
        <v>641.0</v>
      </c>
      <c r="C53" s="2" t="s">
        <v>56</v>
      </c>
      <c r="D53" s="1"/>
      <c r="E53" s="1"/>
      <c r="F53" s="24">
        <v>0.0</v>
      </c>
      <c r="G53" s="24">
        <v>43214.0</v>
      </c>
      <c r="H53" s="33">
        <f t="shared" si="4"/>
        <v>0</v>
      </c>
      <c r="I53" s="32"/>
      <c r="J53" s="24"/>
      <c r="K53" s="24">
        <v>0.0</v>
      </c>
      <c r="L53" s="33" t="str">
        <f t="shared" si="5"/>
        <v>#DIV/0!</v>
      </c>
      <c r="M53" s="32"/>
      <c r="N53" s="24">
        <f t="shared" si="3"/>
        <v>0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6">
        <v>642.0</v>
      </c>
      <c r="C54" s="2" t="s">
        <v>57</v>
      </c>
      <c r="D54" s="1"/>
      <c r="E54" s="1"/>
      <c r="F54" s="24">
        <v>9461.39</v>
      </c>
      <c r="G54" s="24">
        <v>28800.0</v>
      </c>
      <c r="H54" s="33">
        <f t="shared" si="4"/>
        <v>0.3285204861</v>
      </c>
      <c r="I54" s="32"/>
      <c r="J54" s="24">
        <f>3429.42+1714.71</f>
        <v>5144.13</v>
      </c>
      <c r="K54" s="24">
        <v>33000.0</v>
      </c>
      <c r="L54" s="33">
        <f t="shared" si="5"/>
        <v>0.1558827273</v>
      </c>
      <c r="M54" s="32"/>
      <c r="N54" s="24">
        <f t="shared" si="3"/>
        <v>-4317.26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6">
        <v>650.0</v>
      </c>
      <c r="C55" s="2" t="s">
        <v>58</v>
      </c>
      <c r="D55" s="1"/>
      <c r="E55" s="1"/>
      <c r="F55" s="24">
        <v>0.0</v>
      </c>
      <c r="G55" s="24">
        <v>5000.0</v>
      </c>
      <c r="H55" s="33">
        <f t="shared" si="4"/>
        <v>0</v>
      </c>
      <c r="I55" s="32"/>
      <c r="J55" s="24"/>
      <c r="K55" s="24">
        <v>8000.0</v>
      </c>
      <c r="L55" s="33">
        <f t="shared" si="5"/>
        <v>0</v>
      </c>
      <c r="M55" s="32"/>
      <c r="N55" s="24">
        <f t="shared" si="3"/>
        <v>0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6">
        <v>650.0</v>
      </c>
      <c r="C56" s="2" t="s">
        <v>59</v>
      </c>
      <c r="D56" s="1"/>
      <c r="E56" s="1"/>
      <c r="F56" s="24">
        <v>0.0</v>
      </c>
      <c r="G56" s="24">
        <v>500.0</v>
      </c>
      <c r="H56" s="33">
        <f t="shared" si="4"/>
        <v>0</v>
      </c>
      <c r="I56" s="32"/>
      <c r="J56" s="24"/>
      <c r="K56" s="24">
        <v>500.0</v>
      </c>
      <c r="L56" s="33">
        <f t="shared" si="5"/>
        <v>0</v>
      </c>
      <c r="M56" s="32"/>
      <c r="N56" s="24">
        <f t="shared" si="3"/>
        <v>0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6">
        <v>650.0</v>
      </c>
      <c r="C57" s="2" t="s">
        <v>60</v>
      </c>
      <c r="D57" s="1"/>
      <c r="E57" s="1"/>
      <c r="F57" s="24">
        <v>0.0</v>
      </c>
      <c r="G57" s="24">
        <v>1000.0</v>
      </c>
      <c r="H57" s="33">
        <f t="shared" si="4"/>
        <v>0</v>
      </c>
      <c r="I57" s="32"/>
      <c r="J57" s="24"/>
      <c r="K57" s="24">
        <v>500.0</v>
      </c>
      <c r="L57" s="33">
        <f t="shared" si="5"/>
        <v>0</v>
      </c>
      <c r="M57" s="32"/>
      <c r="N57" s="24">
        <f t="shared" si="3"/>
        <v>0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6">
        <v>655.0</v>
      </c>
      <c r="C58" s="2" t="s">
        <v>61</v>
      </c>
      <c r="D58" s="1"/>
      <c r="E58" s="1"/>
      <c r="F58" s="24">
        <v>0.0</v>
      </c>
      <c r="G58" s="24">
        <v>1000.0</v>
      </c>
      <c r="H58" s="33">
        <f t="shared" si="4"/>
        <v>0</v>
      </c>
      <c r="I58" s="32"/>
      <c r="J58" s="24"/>
      <c r="K58" s="24">
        <v>1000.0</v>
      </c>
      <c r="L58" s="33">
        <f t="shared" si="5"/>
        <v>0</v>
      </c>
      <c r="M58" s="32"/>
      <c r="N58" s="24">
        <f t="shared" si="3"/>
        <v>0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6">
        <v>663.0</v>
      </c>
      <c r="C59" s="2" t="s">
        <v>62</v>
      </c>
      <c r="D59" s="1"/>
      <c r="E59" s="1"/>
      <c r="F59" s="24">
        <v>0.0</v>
      </c>
      <c r="G59" s="24">
        <v>0.0</v>
      </c>
      <c r="H59" s="33" t="str">
        <f t="shared" si="4"/>
        <v>#DIV/0!</v>
      </c>
      <c r="I59" s="32"/>
      <c r="J59" s="24">
        <v>1160.4</v>
      </c>
      <c r="K59" s="24">
        <v>0.0</v>
      </c>
      <c r="L59" s="33" t="str">
        <f t="shared" si="5"/>
        <v>#DIV/0!</v>
      </c>
      <c r="M59" s="32"/>
      <c r="N59" s="24">
        <f t="shared" si="3"/>
        <v>1160.4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6">
        <v>663.0</v>
      </c>
      <c r="C60" s="2" t="s">
        <v>63</v>
      </c>
      <c r="D60" s="1"/>
      <c r="E60" s="1"/>
      <c r="F60" s="37">
        <v>1665.38</v>
      </c>
      <c r="G60" s="24">
        <v>0.0</v>
      </c>
      <c r="H60" s="33" t="str">
        <f t="shared" si="4"/>
        <v>#DIV/0!</v>
      </c>
      <c r="I60" s="32"/>
      <c r="J60" s="37">
        <v>362261.64</v>
      </c>
      <c r="K60" s="24">
        <v>0.0</v>
      </c>
      <c r="L60" s="33" t="str">
        <f t="shared" si="5"/>
        <v>#DIV/0!</v>
      </c>
      <c r="M60" s="32"/>
      <c r="N60" s="24">
        <f t="shared" si="3"/>
        <v>360596.26</v>
      </c>
      <c r="O60" s="38" t="s">
        <v>64</v>
      </c>
      <c r="P60" s="38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6">
        <v>669.0</v>
      </c>
      <c r="C61" s="2" t="s">
        <v>65</v>
      </c>
      <c r="D61" s="1"/>
      <c r="E61" s="1"/>
      <c r="F61" s="24">
        <v>0.5</v>
      </c>
      <c r="G61" s="24">
        <v>250.0</v>
      </c>
      <c r="H61" s="33">
        <f t="shared" si="4"/>
        <v>0.002</v>
      </c>
      <c r="I61" s="32"/>
      <c r="J61" s="24">
        <v>200.66</v>
      </c>
      <c r="K61" s="24">
        <v>150.0</v>
      </c>
      <c r="L61" s="33">
        <f t="shared" si="5"/>
        <v>1.337733333</v>
      </c>
      <c r="M61" s="32"/>
      <c r="N61" s="24">
        <f t="shared" si="3"/>
        <v>200.16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6">
        <v>678.0</v>
      </c>
      <c r="C62" s="2" t="s">
        <v>66</v>
      </c>
      <c r="D62" s="1"/>
      <c r="E62" s="1"/>
      <c r="F62" s="24">
        <v>0.0</v>
      </c>
      <c r="G62" s="24">
        <v>0.0</v>
      </c>
      <c r="H62" s="33" t="str">
        <f t="shared" si="4"/>
        <v>#DIV/0!</v>
      </c>
      <c r="I62" s="32"/>
      <c r="J62" s="24">
        <v>1082.87</v>
      </c>
      <c r="K62" s="24">
        <v>0.0</v>
      </c>
      <c r="L62" s="33" t="str">
        <f t="shared" si="5"/>
        <v>#DIV/0!</v>
      </c>
      <c r="M62" s="32"/>
      <c r="N62" s="24">
        <f t="shared" si="3"/>
        <v>1082.87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6">
        <v>680.0</v>
      </c>
      <c r="C63" s="2" t="s">
        <v>67</v>
      </c>
      <c r="D63" s="1"/>
      <c r="E63" s="1"/>
      <c r="F63" s="24">
        <v>750.0</v>
      </c>
      <c r="G63" s="24">
        <v>3000.0</v>
      </c>
      <c r="H63" s="33">
        <f t="shared" si="4"/>
        <v>0.25</v>
      </c>
      <c r="I63" s="32"/>
      <c r="J63" s="24">
        <f>+(250)*3</f>
        <v>750</v>
      </c>
      <c r="K63" s="24">
        <v>3000.0</v>
      </c>
      <c r="L63" s="33">
        <f t="shared" si="5"/>
        <v>0.25</v>
      </c>
      <c r="M63" s="32"/>
      <c r="N63" s="24">
        <f t="shared" si="3"/>
        <v>0</v>
      </c>
      <c r="O63" s="22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6">
        <v>681.0</v>
      </c>
      <c r="C64" s="2" t="s">
        <v>68</v>
      </c>
      <c r="D64" s="1"/>
      <c r="E64" s="1"/>
      <c r="F64" s="24">
        <v>3000.0</v>
      </c>
      <c r="G64" s="24">
        <v>12000.0</v>
      </c>
      <c r="H64" s="33">
        <f t="shared" si="4"/>
        <v>0.25</v>
      </c>
      <c r="I64" s="32"/>
      <c r="J64" s="24">
        <f>+(1083.33333333333)*3</f>
        <v>3250</v>
      </c>
      <c r="K64" s="24">
        <v>13000.0</v>
      </c>
      <c r="L64" s="33">
        <f t="shared" si="5"/>
        <v>0.25</v>
      </c>
      <c r="M64" s="32"/>
      <c r="N64" s="24">
        <f t="shared" si="3"/>
        <v>250</v>
      </c>
      <c r="O64" s="22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6">
        <v>690.0</v>
      </c>
      <c r="C65" s="2" t="s">
        <v>69</v>
      </c>
      <c r="D65" s="1"/>
      <c r="E65" s="1"/>
      <c r="F65" s="24">
        <v>2000.01</v>
      </c>
      <c r="G65" s="24">
        <v>8000.0</v>
      </c>
      <c r="H65" s="33">
        <f t="shared" si="4"/>
        <v>0.25000125</v>
      </c>
      <c r="I65" s="32"/>
      <c r="J65" s="24">
        <f>+(666.666666666667)*3</f>
        <v>2000</v>
      </c>
      <c r="K65" s="24">
        <v>8000.0</v>
      </c>
      <c r="L65" s="33">
        <f t="shared" si="5"/>
        <v>0.25</v>
      </c>
      <c r="M65" s="32"/>
      <c r="N65" s="24">
        <f t="shared" si="3"/>
        <v>-0.009999999999</v>
      </c>
      <c r="O65" s="2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39"/>
      <c r="C66" s="26"/>
      <c r="D66" s="26"/>
      <c r="E66" s="1"/>
      <c r="F66" s="24"/>
      <c r="G66" s="27"/>
      <c r="H66" s="33"/>
      <c r="I66" s="32"/>
      <c r="J66" s="24"/>
      <c r="K66" s="27"/>
      <c r="L66" s="33"/>
      <c r="M66" s="32"/>
      <c r="N66" s="27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40"/>
      <c r="C67" s="41"/>
      <c r="D67" s="41"/>
      <c r="E67" s="42" t="s">
        <v>70</v>
      </c>
      <c r="F67" s="43">
        <f>SUM(F7:F65)-F8-F14-F22-F29</f>
        <v>87300.63</v>
      </c>
      <c r="G67" s="43">
        <f>G7+G8+G14+G22+G26+G27+G28+G29+G50+G51+G52+G54+G55+G56+G57+G58+G61+G63+G64+G65+G53</f>
        <v>479158.3</v>
      </c>
      <c r="H67" s="44">
        <f>+F67/G67</f>
        <v>0.1821958004</v>
      </c>
      <c r="I67" s="15"/>
      <c r="J67" s="43">
        <f t="shared" ref="J67:K67" si="7">SUM(J7:J65)-J22-J29-J14</f>
        <v>428903.8</v>
      </c>
      <c r="K67" s="43">
        <f t="shared" si="7"/>
        <v>385000</v>
      </c>
      <c r="L67" s="44">
        <f>+J67/K67</f>
        <v>1.114035844</v>
      </c>
      <c r="M67" s="15"/>
      <c r="N67" s="43">
        <f>+J67-F67</f>
        <v>341603.17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2"/>
      <c r="C68" s="1"/>
      <c r="D68" s="1"/>
      <c r="E68" s="1"/>
      <c r="F68" s="45"/>
      <c r="G68" s="1"/>
      <c r="H68" s="46"/>
      <c r="I68" s="46"/>
      <c r="J68" s="1"/>
      <c r="K68" s="1"/>
      <c r="L68" s="46"/>
      <c r="M68" s="46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2"/>
      <c r="C69" s="1"/>
      <c r="D69" s="1"/>
      <c r="E69" s="1"/>
      <c r="F69" s="45"/>
      <c r="G69" s="1"/>
      <c r="H69" s="46"/>
      <c r="I69" s="46"/>
      <c r="J69" s="1"/>
      <c r="K69" s="1"/>
      <c r="L69" s="46"/>
      <c r="M69" s="46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2"/>
      <c r="C70" s="1"/>
      <c r="D70" s="1"/>
      <c r="E70" s="1"/>
      <c r="F70" s="47" t="s">
        <v>3</v>
      </c>
      <c r="G70" s="7" t="s">
        <v>4</v>
      </c>
      <c r="H70" s="8" t="s">
        <v>5</v>
      </c>
      <c r="I70" s="2"/>
      <c r="J70" s="47" t="s">
        <v>6</v>
      </c>
      <c r="K70" s="7" t="s">
        <v>7</v>
      </c>
      <c r="L70" s="8" t="s">
        <v>5</v>
      </c>
      <c r="M70" s="2"/>
      <c r="N70" s="7" t="s">
        <v>8</v>
      </c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48">
        <v>705.0</v>
      </c>
      <c r="C71" s="49" t="s">
        <v>71</v>
      </c>
      <c r="D71" s="50"/>
      <c r="E71" s="51"/>
      <c r="F71" s="52">
        <v>32745.0</v>
      </c>
      <c r="G71" s="52">
        <v>133900.0</v>
      </c>
      <c r="H71" s="53">
        <f t="shared" ref="H71:H80" si="8">+F71/G71</f>
        <v>0.2445481703</v>
      </c>
      <c r="I71" s="15"/>
      <c r="J71" s="52">
        <v>31910.0</v>
      </c>
      <c r="K71" s="52">
        <v>132000.0</v>
      </c>
      <c r="L71" s="53">
        <f t="shared" ref="L71:L80" si="9">+J71/K71</f>
        <v>0.2417424242</v>
      </c>
      <c r="M71" s="15"/>
      <c r="N71" s="52">
        <f t="shared" ref="N71:N91" si="10">+J71-F71</f>
        <v>-835</v>
      </c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54">
        <v>705.0</v>
      </c>
      <c r="C72" s="2" t="s">
        <v>72</v>
      </c>
      <c r="D72" s="1"/>
      <c r="E72" s="55"/>
      <c r="F72" s="17">
        <v>40650.91</v>
      </c>
      <c r="G72" s="17">
        <v>130000.0</v>
      </c>
      <c r="H72" s="36">
        <f t="shared" si="8"/>
        <v>0.3126993077</v>
      </c>
      <c r="I72" s="15"/>
      <c r="J72" s="17">
        <v>42745.76</v>
      </c>
      <c r="K72" s="17">
        <v>145000.0</v>
      </c>
      <c r="L72" s="36">
        <f t="shared" si="9"/>
        <v>0.2947983448</v>
      </c>
      <c r="M72" s="15"/>
      <c r="N72" s="17">
        <f t="shared" si="10"/>
        <v>2094.85</v>
      </c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54">
        <v>705.0</v>
      </c>
      <c r="C73" s="2" t="s">
        <v>23</v>
      </c>
      <c r="D73" s="1"/>
      <c r="E73" s="55"/>
      <c r="F73" s="17">
        <v>0.0</v>
      </c>
      <c r="G73" s="17">
        <v>0.0</v>
      </c>
      <c r="H73" s="36" t="str">
        <f t="shared" si="8"/>
        <v>#DIV/0!</v>
      </c>
      <c r="I73" s="15"/>
      <c r="J73" s="17">
        <v>8700.0</v>
      </c>
      <c r="K73" s="17">
        <v>0.0</v>
      </c>
      <c r="L73" s="36" t="str">
        <f t="shared" si="9"/>
        <v>#DIV/0!</v>
      </c>
      <c r="M73" s="15"/>
      <c r="N73" s="17">
        <f t="shared" si="10"/>
        <v>8700</v>
      </c>
      <c r="O73" s="1" t="s">
        <v>73</v>
      </c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54">
        <v>705.0</v>
      </c>
      <c r="C74" s="2" t="s">
        <v>74</v>
      </c>
      <c r="D74" s="1"/>
      <c r="E74" s="55"/>
      <c r="F74" s="17">
        <v>0.0</v>
      </c>
      <c r="G74" s="17">
        <v>52500.0</v>
      </c>
      <c r="H74" s="36">
        <f t="shared" si="8"/>
        <v>0</v>
      </c>
      <c r="I74" s="15"/>
      <c r="J74" s="17"/>
      <c r="K74" s="17">
        <v>0.0</v>
      </c>
      <c r="L74" s="36" t="str">
        <f t="shared" si="9"/>
        <v>#DIV/0!</v>
      </c>
      <c r="M74" s="15"/>
      <c r="N74" s="17">
        <f t="shared" si="10"/>
        <v>0</v>
      </c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54">
        <v>740.0</v>
      </c>
      <c r="C75" s="2" t="s">
        <v>75</v>
      </c>
      <c r="D75" s="1"/>
      <c r="E75" s="55"/>
      <c r="F75" s="17">
        <v>0.0</v>
      </c>
      <c r="G75" s="17">
        <v>0.0</v>
      </c>
      <c r="H75" s="36" t="str">
        <f t="shared" si="8"/>
        <v>#DIV/0!</v>
      </c>
      <c r="I75" s="15"/>
      <c r="J75" s="17"/>
      <c r="K75" s="17">
        <v>0.0</v>
      </c>
      <c r="L75" s="36" t="str">
        <f t="shared" si="9"/>
        <v>#DIV/0!</v>
      </c>
      <c r="M75" s="15"/>
      <c r="N75" s="17">
        <f t="shared" si="10"/>
        <v>0</v>
      </c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54">
        <v>752.0</v>
      </c>
      <c r="C76" s="2" t="s">
        <v>76</v>
      </c>
      <c r="D76" s="1"/>
      <c r="E76" s="55"/>
      <c r="F76" s="17">
        <v>0.0</v>
      </c>
      <c r="G76" s="17">
        <v>0.0</v>
      </c>
      <c r="H76" s="36" t="str">
        <f t="shared" si="8"/>
        <v>#DIV/0!</v>
      </c>
      <c r="I76" s="15"/>
      <c r="J76" s="17">
        <v>375.0</v>
      </c>
      <c r="K76" s="17">
        <v>3000.0</v>
      </c>
      <c r="L76" s="36">
        <f t="shared" si="9"/>
        <v>0.125</v>
      </c>
      <c r="M76" s="15"/>
      <c r="N76" s="17">
        <f t="shared" si="10"/>
        <v>375</v>
      </c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54">
        <v>759.0</v>
      </c>
      <c r="C77" s="2" t="s">
        <v>77</v>
      </c>
      <c r="D77" s="1"/>
      <c r="E77" s="55"/>
      <c r="F77" s="17">
        <f>+F78+F79+F80+F81+F82+F83</f>
        <v>2919.09</v>
      </c>
      <c r="G77" s="17">
        <f>SUM(G78:G83)</f>
        <v>58000</v>
      </c>
      <c r="H77" s="36">
        <f t="shared" si="8"/>
        <v>0.05032913793</v>
      </c>
      <c r="I77" s="15"/>
      <c r="J77" s="17">
        <f>SUM(J78:J83)</f>
        <v>4174</v>
      </c>
      <c r="K77" s="17">
        <v>40500.0</v>
      </c>
      <c r="L77" s="36">
        <f t="shared" si="9"/>
        <v>0.1030617284</v>
      </c>
      <c r="M77" s="15"/>
      <c r="N77" s="17">
        <f t="shared" si="10"/>
        <v>1254.91</v>
      </c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54"/>
      <c r="C78" s="19" t="s">
        <v>78</v>
      </c>
      <c r="D78" s="12"/>
      <c r="E78" s="56"/>
      <c r="F78" s="20">
        <v>0.0</v>
      </c>
      <c r="G78" s="20">
        <v>30000.0</v>
      </c>
      <c r="H78" s="31">
        <f t="shared" si="8"/>
        <v>0</v>
      </c>
      <c r="I78" s="32"/>
      <c r="J78" s="20"/>
      <c r="K78" s="20">
        <v>20000.0</v>
      </c>
      <c r="L78" s="31">
        <f t="shared" si="9"/>
        <v>0</v>
      </c>
      <c r="M78" s="32"/>
      <c r="N78" s="20">
        <f t="shared" si="10"/>
        <v>0</v>
      </c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54"/>
      <c r="C79" s="23" t="s">
        <v>79</v>
      </c>
      <c r="D79" s="1"/>
      <c r="E79" s="55"/>
      <c r="F79" s="24">
        <v>0.0</v>
      </c>
      <c r="G79" s="24">
        <v>13000.0</v>
      </c>
      <c r="H79" s="33">
        <f t="shared" si="8"/>
        <v>0</v>
      </c>
      <c r="I79" s="32"/>
      <c r="J79" s="24"/>
      <c r="K79" s="24">
        <v>10000.0</v>
      </c>
      <c r="L79" s="33">
        <f t="shared" si="9"/>
        <v>0</v>
      </c>
      <c r="M79" s="32"/>
      <c r="N79" s="24">
        <f t="shared" si="10"/>
        <v>0</v>
      </c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54"/>
      <c r="C80" s="23" t="s">
        <v>80</v>
      </c>
      <c r="D80" s="1"/>
      <c r="E80" s="55"/>
      <c r="F80" s="24">
        <v>2380.0</v>
      </c>
      <c r="G80" s="24">
        <v>10000.0</v>
      </c>
      <c r="H80" s="33">
        <f t="shared" si="8"/>
        <v>0.238</v>
      </c>
      <c r="I80" s="32"/>
      <c r="J80" s="24">
        <v>4120.0</v>
      </c>
      <c r="K80" s="24">
        <v>10000.0</v>
      </c>
      <c r="L80" s="33">
        <f t="shared" si="9"/>
        <v>0.412</v>
      </c>
      <c r="M80" s="32"/>
      <c r="N80" s="24">
        <f t="shared" si="10"/>
        <v>1740</v>
      </c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54"/>
      <c r="C81" s="23" t="s">
        <v>81</v>
      </c>
      <c r="D81" s="1"/>
      <c r="E81" s="55"/>
      <c r="F81" s="24">
        <v>394.0</v>
      </c>
      <c r="G81" s="24">
        <v>0.0</v>
      </c>
      <c r="H81" s="33"/>
      <c r="I81" s="32"/>
      <c r="J81" s="24"/>
      <c r="K81" s="24">
        <v>500.0</v>
      </c>
      <c r="L81" s="33"/>
      <c r="M81" s="32"/>
      <c r="N81" s="24">
        <f t="shared" si="10"/>
        <v>-394</v>
      </c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54"/>
      <c r="C82" s="23" t="s">
        <v>82</v>
      </c>
      <c r="D82" s="1"/>
      <c r="E82" s="55"/>
      <c r="F82" s="24">
        <v>145.09</v>
      </c>
      <c r="G82" s="24">
        <v>0.0</v>
      </c>
      <c r="H82" s="33"/>
      <c r="I82" s="32"/>
      <c r="J82" s="24">
        <v>54.0</v>
      </c>
      <c r="K82" s="24">
        <v>0.0</v>
      </c>
      <c r="L82" s="33"/>
      <c r="M82" s="32"/>
      <c r="N82" s="24">
        <f t="shared" si="10"/>
        <v>-91.09</v>
      </c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54"/>
      <c r="C83" s="25" t="s">
        <v>83</v>
      </c>
      <c r="D83" s="26"/>
      <c r="E83" s="57"/>
      <c r="F83" s="27">
        <v>0.0</v>
      </c>
      <c r="G83" s="27">
        <v>5000.0</v>
      </c>
      <c r="H83" s="34">
        <f t="shared" ref="H83:H84" si="11">+F83/G83</f>
        <v>0</v>
      </c>
      <c r="I83" s="32"/>
      <c r="J83" s="27"/>
      <c r="K83" s="27">
        <v>0.0</v>
      </c>
      <c r="L83" s="34" t="str">
        <f t="shared" ref="L83:L84" si="12">+J83/K83</f>
        <v>#DIV/0!</v>
      </c>
      <c r="M83" s="32"/>
      <c r="N83" s="27">
        <f t="shared" si="10"/>
        <v>0</v>
      </c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54">
        <v>762.0</v>
      </c>
      <c r="C84" s="2" t="s">
        <v>84</v>
      </c>
      <c r="D84" s="1"/>
      <c r="E84" s="55"/>
      <c r="F84" s="17">
        <v>0.0</v>
      </c>
      <c r="G84" s="17">
        <v>20000.0</v>
      </c>
      <c r="H84" s="36">
        <f t="shared" si="11"/>
        <v>0</v>
      </c>
      <c r="I84" s="15"/>
      <c r="J84" s="17"/>
      <c r="K84" s="17">
        <v>1000.0</v>
      </c>
      <c r="L84" s="36">
        <f t="shared" si="12"/>
        <v>0</v>
      </c>
      <c r="M84" s="15"/>
      <c r="N84" s="17">
        <f t="shared" si="10"/>
        <v>0</v>
      </c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54">
        <v>763.0</v>
      </c>
      <c r="C85" s="2" t="s">
        <v>85</v>
      </c>
      <c r="D85" s="1"/>
      <c r="E85" s="55"/>
      <c r="F85" s="58">
        <v>101646.01</v>
      </c>
      <c r="G85" s="17">
        <v>0.0</v>
      </c>
      <c r="H85" s="36"/>
      <c r="I85" s="15"/>
      <c r="J85" s="58">
        <v>0.0</v>
      </c>
      <c r="K85" s="17">
        <v>63500.0</v>
      </c>
      <c r="L85" s="36"/>
      <c r="M85" s="15"/>
      <c r="N85" s="17">
        <f t="shared" si="10"/>
        <v>-101646.01</v>
      </c>
      <c r="O85" s="38" t="s">
        <v>86</v>
      </c>
      <c r="P85" s="38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54">
        <v>763.0</v>
      </c>
      <c r="C86" s="2" t="s">
        <v>87</v>
      </c>
      <c r="D86" s="1"/>
      <c r="E86" s="55"/>
      <c r="F86" s="17">
        <v>30188.17</v>
      </c>
      <c r="G86" s="17">
        <v>0.0</v>
      </c>
      <c r="H86" s="36"/>
      <c r="I86" s="15"/>
      <c r="J86" s="17">
        <v>216.48</v>
      </c>
      <c r="K86" s="17">
        <v>0.0</v>
      </c>
      <c r="L86" s="36"/>
      <c r="M86" s="15"/>
      <c r="N86" s="17">
        <f t="shared" si="10"/>
        <v>-29971.69</v>
      </c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54">
        <v>769.0</v>
      </c>
      <c r="C87" s="2" t="s">
        <v>88</v>
      </c>
      <c r="D87" s="1"/>
      <c r="E87" s="55"/>
      <c r="F87" s="17">
        <v>0.09</v>
      </c>
      <c r="G87" s="17">
        <v>0.0</v>
      </c>
      <c r="H87" s="36"/>
      <c r="I87" s="15"/>
      <c r="J87" s="17"/>
      <c r="K87" s="17">
        <v>0.0</v>
      </c>
      <c r="L87" s="36"/>
      <c r="M87" s="15"/>
      <c r="N87" s="17">
        <f t="shared" si="10"/>
        <v>-0.09</v>
      </c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54">
        <v>778.0</v>
      </c>
      <c r="C88" s="2" t="s">
        <v>89</v>
      </c>
      <c r="D88" s="1"/>
      <c r="E88" s="55"/>
      <c r="F88" s="17">
        <v>0.0</v>
      </c>
      <c r="G88" s="17">
        <v>83758.3</v>
      </c>
      <c r="H88" s="36"/>
      <c r="I88" s="15"/>
      <c r="J88" s="17">
        <v>1980.5</v>
      </c>
      <c r="K88" s="17">
        <v>0.0</v>
      </c>
      <c r="L88" s="36"/>
      <c r="M88" s="15"/>
      <c r="N88" s="17">
        <f t="shared" si="10"/>
        <v>1980.5</v>
      </c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54">
        <v>794.0</v>
      </c>
      <c r="C89" s="2" t="s">
        <v>90</v>
      </c>
      <c r="D89" s="1"/>
      <c r="E89" s="55"/>
      <c r="F89" s="17">
        <v>45.0</v>
      </c>
      <c r="G89" s="17">
        <v>1000.0</v>
      </c>
      <c r="H89" s="36">
        <f>+F89/G89</f>
        <v>0.045</v>
      </c>
      <c r="I89" s="15"/>
      <c r="J89" s="17"/>
      <c r="K89" s="17">
        <v>0.0</v>
      </c>
      <c r="L89" s="36" t="str">
        <f>+J89/K89</f>
        <v>#DIV/0!</v>
      </c>
      <c r="M89" s="15"/>
      <c r="N89" s="17">
        <f t="shared" si="10"/>
        <v>-45</v>
      </c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54"/>
      <c r="C90" s="1"/>
      <c r="D90" s="1"/>
      <c r="E90" s="55"/>
      <c r="F90" s="27"/>
      <c r="G90" s="59"/>
      <c r="H90" s="18"/>
      <c r="I90" s="15"/>
      <c r="J90" s="17"/>
      <c r="K90" s="17"/>
      <c r="L90" s="18"/>
      <c r="M90" s="15"/>
      <c r="N90" s="17">
        <f t="shared" si="10"/>
        <v>0</v>
      </c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60"/>
      <c r="C91" s="61"/>
      <c r="D91" s="61"/>
      <c r="E91" s="62" t="s">
        <v>91</v>
      </c>
      <c r="F91" s="43">
        <f>F71+F72+F73+F77+F84+F87+F89+F86+F85+F74+F88+F75+F76</f>
        <v>208194.27</v>
      </c>
      <c r="G91" s="43">
        <f>G71+G72+G73+G77+G84+G87+G89+G88+G74+G75+G85+G86+G76</f>
        <v>479158.3</v>
      </c>
      <c r="H91" s="44">
        <f>+F91/G91</f>
        <v>0.4344999763</v>
      </c>
      <c r="I91" s="15"/>
      <c r="J91" s="43">
        <f t="shared" ref="J91:K91" si="13">SUM(J71:J90)-J77</f>
        <v>90101.74</v>
      </c>
      <c r="K91" s="43">
        <f t="shared" si="13"/>
        <v>385000</v>
      </c>
      <c r="L91" s="44">
        <f>+J91/K91</f>
        <v>0.2340304935</v>
      </c>
      <c r="M91" s="15"/>
      <c r="N91" s="43">
        <f t="shared" si="10"/>
        <v>-118092.53</v>
      </c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2"/>
      <c r="C92" s="1"/>
      <c r="D92" s="1"/>
      <c r="E92" s="1"/>
      <c r="F92" s="22"/>
      <c r="G92" s="22"/>
      <c r="H92" s="22"/>
      <c r="I92" s="22"/>
      <c r="J92" s="22"/>
      <c r="K92" s="22"/>
      <c r="L92" s="22"/>
      <c r="M92" s="22"/>
      <c r="N92" s="22">
        <f>J92-K92</f>
        <v>0</v>
      </c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2"/>
      <c r="C93" s="1"/>
      <c r="D93" s="1"/>
      <c r="E93" s="63" t="s">
        <v>92</v>
      </c>
      <c r="F93" s="64">
        <f t="shared" ref="F93:G93" si="14">+F91-F67</f>
        <v>120893.64</v>
      </c>
      <c r="G93" s="64">
        <f t="shared" si="14"/>
        <v>0</v>
      </c>
      <c r="H93" s="22"/>
      <c r="I93" s="22"/>
      <c r="J93" s="65">
        <f t="shared" ref="J93:K93" si="15">+J91-J67</f>
        <v>-338802.06</v>
      </c>
      <c r="K93" s="64">
        <f t="shared" si="15"/>
        <v>0</v>
      </c>
      <c r="L93" s="66"/>
      <c r="M93" s="66"/>
      <c r="N93" s="65">
        <f>+J93-F93</f>
        <v>-459695.7</v>
      </c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2"/>
      <c r="C94" s="1"/>
      <c r="D94" s="1"/>
      <c r="E94" s="1"/>
      <c r="F94" s="22"/>
      <c r="G94" s="22"/>
      <c r="H94" s="22"/>
      <c r="I94" s="22"/>
      <c r="J94" s="22"/>
      <c r="K94" s="22"/>
      <c r="L94" s="22"/>
      <c r="M94" s="22"/>
      <c r="N94" s="67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2"/>
      <c r="C95" s="1"/>
      <c r="D95" s="1"/>
      <c r="E95" s="1"/>
      <c r="F95" s="22"/>
      <c r="G95" s="22"/>
      <c r="H95" s="22"/>
      <c r="I95" s="22"/>
      <c r="J95" s="22"/>
      <c r="K95" s="22"/>
      <c r="L95" s="22"/>
      <c r="M95" s="22"/>
      <c r="N95" s="67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2"/>
      <c r="C96" s="1"/>
      <c r="D96" s="1"/>
      <c r="E96" s="68" t="s">
        <v>93</v>
      </c>
      <c r="F96" s="22"/>
      <c r="G96" s="22"/>
      <c r="H96" s="22"/>
      <c r="I96" s="22"/>
      <c r="J96" s="22"/>
      <c r="K96" s="22"/>
      <c r="L96" s="22"/>
      <c r="M96" s="22"/>
      <c r="N96" s="67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2"/>
      <c r="C97" s="1"/>
      <c r="D97" s="1"/>
      <c r="E97" s="1"/>
      <c r="F97" s="47" t="s">
        <v>3</v>
      </c>
      <c r="G97" s="5" t="s">
        <v>4</v>
      </c>
      <c r="H97" s="2"/>
      <c r="I97" s="2"/>
      <c r="J97" s="47" t="s">
        <v>6</v>
      </c>
      <c r="K97" s="5" t="s">
        <v>7</v>
      </c>
      <c r="L97" s="2"/>
      <c r="M97" s="2"/>
      <c r="N97" s="7" t="s">
        <v>8</v>
      </c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2"/>
      <c r="C98" s="1"/>
      <c r="D98" s="1"/>
      <c r="E98" s="69" t="s">
        <v>94</v>
      </c>
      <c r="F98" s="70">
        <f>F87+F85+F84+F86-F17-F59-F60-F61</f>
        <v>129730.64</v>
      </c>
      <c r="G98" s="70">
        <f>G84-G17-G61</f>
        <v>13750</v>
      </c>
      <c r="H98" s="22"/>
      <c r="I98" s="22"/>
      <c r="J98" s="71">
        <f>J87+J85+J84+J86-J17-J59-J60-J61</f>
        <v>-364456.82</v>
      </c>
      <c r="K98" s="70">
        <v>57285.0</v>
      </c>
      <c r="L98" s="66"/>
      <c r="M98" s="66"/>
      <c r="N98" s="71">
        <f>J98-F98</f>
        <v>-494187.46</v>
      </c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2"/>
      <c r="C99" s="1"/>
      <c r="D99" s="1"/>
      <c r="E99" s="1"/>
      <c r="F99" s="21"/>
      <c r="G99" s="21"/>
      <c r="H99" s="22"/>
      <c r="I99" s="22"/>
      <c r="J99" s="21"/>
      <c r="K99" s="21"/>
      <c r="L99" s="22"/>
      <c r="M99" s="22"/>
      <c r="N99" s="2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2"/>
      <c r="C100" s="1"/>
      <c r="D100" s="1"/>
      <c r="E100" s="69" t="s">
        <v>95</v>
      </c>
      <c r="F100" s="71">
        <f>+F93-F98-F102</f>
        <v>-8837</v>
      </c>
      <c r="G100" s="71">
        <v>-54294.3</v>
      </c>
      <c r="H100" s="22"/>
      <c r="I100" s="22"/>
      <c r="J100" s="70">
        <f>+J93-J98-J102</f>
        <v>24757.13</v>
      </c>
      <c r="K100" s="71">
        <v>-57285.0</v>
      </c>
      <c r="L100" s="72"/>
      <c r="M100" s="72"/>
      <c r="N100" s="70">
        <f>+J100-F100</f>
        <v>33594.13</v>
      </c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2"/>
      <c r="C101" s="1"/>
      <c r="D101" s="1"/>
      <c r="E101" s="2"/>
      <c r="F101" s="17"/>
      <c r="G101" s="21"/>
      <c r="H101" s="22"/>
      <c r="I101" s="22"/>
      <c r="J101" s="17"/>
      <c r="K101" s="21"/>
      <c r="L101" s="22"/>
      <c r="M101" s="22"/>
      <c r="N101" s="2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2"/>
      <c r="C102" s="1"/>
      <c r="D102" s="1"/>
      <c r="E102" s="69" t="s">
        <v>96</v>
      </c>
      <c r="F102" s="70">
        <f>+F88-F62-F53</f>
        <v>0</v>
      </c>
      <c r="G102" s="70">
        <f>+G88-G53</f>
        <v>40544.3</v>
      </c>
      <c r="H102" s="22"/>
      <c r="I102" s="22"/>
      <c r="J102" s="70">
        <f>+J88-J62-J53</f>
        <v>897.63</v>
      </c>
      <c r="K102" s="70">
        <v>0.0</v>
      </c>
      <c r="L102" s="66"/>
      <c r="M102" s="66"/>
      <c r="N102" s="70">
        <f>J102-F102</f>
        <v>897.63</v>
      </c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2"/>
      <c r="C103" s="1"/>
      <c r="D103" s="1"/>
      <c r="E103" s="1"/>
      <c r="F103" s="21"/>
      <c r="G103" s="21"/>
      <c r="H103" s="22"/>
      <c r="I103" s="22"/>
      <c r="J103" s="21"/>
      <c r="K103" s="21"/>
      <c r="L103" s="22"/>
      <c r="M103" s="22"/>
      <c r="N103" s="21">
        <f>J103-K103</f>
        <v>0</v>
      </c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2"/>
      <c r="C104" s="1"/>
      <c r="D104" s="1"/>
      <c r="E104" s="73" t="s">
        <v>92</v>
      </c>
      <c r="F104" s="64">
        <f>F91-F67</f>
        <v>120893.64</v>
      </c>
      <c r="G104" s="64">
        <f>SUM(G98:G102)</f>
        <v>0</v>
      </c>
      <c r="H104" s="22"/>
      <c r="I104" s="22"/>
      <c r="J104" s="65">
        <f>J91-J67</f>
        <v>-338802.06</v>
      </c>
      <c r="K104" s="64">
        <f>+K98+K100+K102</f>
        <v>0</v>
      </c>
      <c r="L104" s="66"/>
      <c r="M104" s="66"/>
      <c r="N104" s="65">
        <f>J104-F104</f>
        <v>-459695.7</v>
      </c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67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2"/>
      <c r="C106" s="1"/>
      <c r="D106" s="1"/>
      <c r="E106" s="1"/>
      <c r="F106" s="47" t="s">
        <v>3</v>
      </c>
      <c r="G106" s="1"/>
      <c r="H106" s="1"/>
      <c r="I106" s="1"/>
      <c r="J106" s="47" t="s">
        <v>6</v>
      </c>
      <c r="K106" s="1"/>
      <c r="L106" s="1"/>
      <c r="M106" s="1"/>
      <c r="N106" s="7" t="s">
        <v>8</v>
      </c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2"/>
      <c r="C107" s="1"/>
      <c r="D107" s="1"/>
      <c r="E107" s="48" t="s">
        <v>97</v>
      </c>
      <c r="F107" s="52">
        <f>+F91-F86-F85-F84-F87-F88</f>
        <v>76360</v>
      </c>
      <c r="G107" s="1"/>
      <c r="H107" s="22"/>
      <c r="I107" s="22"/>
      <c r="J107" s="70">
        <f>+J91-J87-J86-J85-J84-J88</f>
        <v>87904.76</v>
      </c>
      <c r="K107" s="22"/>
      <c r="L107" s="22"/>
      <c r="M107" s="22"/>
      <c r="N107" s="70">
        <f t="shared" ref="N107:N109" si="16">+J107-F107</f>
        <v>11544.76</v>
      </c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2"/>
      <c r="C108" s="1"/>
      <c r="D108" s="1"/>
      <c r="E108" s="74" t="s">
        <v>98</v>
      </c>
      <c r="F108" s="70">
        <f>+F67-F60-F61-F59-F62-F17</f>
        <v>85197</v>
      </c>
      <c r="G108" s="22"/>
      <c r="H108" s="22"/>
      <c r="I108" s="22"/>
      <c r="J108" s="70">
        <f>+J67-J60-J61-J59-J62-J17</f>
        <v>63147.63</v>
      </c>
      <c r="K108" s="22"/>
      <c r="L108" s="22"/>
      <c r="M108" s="22"/>
      <c r="N108" s="70">
        <f t="shared" si="16"/>
        <v>-22049.37</v>
      </c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2"/>
      <c r="C109" s="1"/>
      <c r="D109" s="1"/>
      <c r="E109" s="75" t="s">
        <v>99</v>
      </c>
      <c r="F109" s="76">
        <f>+F107-F108</f>
        <v>-8837</v>
      </c>
      <c r="G109" s="22"/>
      <c r="H109" s="22"/>
      <c r="I109" s="22"/>
      <c r="J109" s="64">
        <f>+J107-J108</f>
        <v>24757.13</v>
      </c>
      <c r="K109" s="22"/>
      <c r="L109" s="22"/>
      <c r="M109" s="22"/>
      <c r="N109" s="64">
        <f t="shared" si="16"/>
        <v>33594.13</v>
      </c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67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67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67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67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67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67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67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67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67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67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67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67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67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67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67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67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67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67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67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67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66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2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2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2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2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2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2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2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2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2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2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2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2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2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2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2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2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2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2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2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2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2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2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2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paperSize="9" scale="67" orientation="landscape"/>
  <drawing r:id="rId1"/>
</worksheet>
</file>