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20115" windowHeight="7875"/>
  </bookViews>
  <sheets>
    <sheet name="coiirm acum mzo 21-20" sheetId="1" r:id="rId1"/>
  </sheets>
  <definedNames>
    <definedName name="_xlnm.Print_Area" localSheetId="0">'coiirm acum mzo 21-20'!$B$1:$G$116</definedName>
  </definedNames>
  <calcPr calcId="145621"/>
</workbook>
</file>

<file path=xl/calcChain.xml><?xml version="1.0" encoding="utf-8"?>
<calcChain xmlns="http://schemas.openxmlformats.org/spreadsheetml/2006/main">
  <c r="N51" i="1" l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50" i="1"/>
  <c r="N49" i="1"/>
  <c r="N48" i="1"/>
  <c r="N47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31" i="1"/>
  <c r="N30" i="1"/>
  <c r="N28" i="1"/>
  <c r="N27" i="1"/>
  <c r="N26" i="1"/>
  <c r="N25" i="1"/>
  <c r="N24" i="1"/>
  <c r="N23" i="1"/>
  <c r="N22" i="1"/>
  <c r="N21" i="1"/>
  <c r="N17" i="1"/>
  <c r="N18" i="1"/>
  <c r="N19" i="1"/>
  <c r="N20" i="1"/>
  <c r="N16" i="1"/>
  <c r="N15" i="1"/>
  <c r="N14" i="1"/>
  <c r="N13" i="1"/>
  <c r="N12" i="1"/>
  <c r="N11" i="1"/>
  <c r="N10" i="1"/>
  <c r="N9" i="1"/>
  <c r="N8" i="1"/>
  <c r="N7" i="1"/>
  <c r="N102" i="1"/>
  <c r="N90" i="1"/>
  <c r="N86" i="1"/>
  <c r="N87" i="1"/>
  <c r="N88" i="1"/>
  <c r="N89" i="1"/>
  <c r="N85" i="1"/>
  <c r="N84" i="1"/>
  <c r="N83" i="1"/>
  <c r="N80" i="1"/>
  <c r="N81" i="1"/>
  <c r="N82" i="1"/>
  <c r="N79" i="1"/>
  <c r="N78" i="1"/>
  <c r="N77" i="1"/>
  <c r="N72" i="1"/>
  <c r="N73" i="1"/>
  <c r="N74" i="1"/>
  <c r="N75" i="1"/>
  <c r="N76" i="1"/>
  <c r="N71" i="1"/>
  <c r="N70" i="1"/>
  <c r="J35" i="1" l="1"/>
  <c r="J32" i="1"/>
  <c r="J28" i="1"/>
  <c r="J15" i="1"/>
  <c r="F64" i="1" l="1"/>
  <c r="F63" i="1"/>
  <c r="F62" i="1"/>
  <c r="F32" i="1"/>
  <c r="F15" i="1"/>
  <c r="G91" i="1" l="1"/>
  <c r="L71" i="1"/>
  <c r="H71" i="1"/>
  <c r="F14" i="1" l="1"/>
  <c r="G14" i="1"/>
  <c r="K104" i="1" l="1"/>
  <c r="N103" i="1"/>
  <c r="J102" i="1"/>
  <c r="G102" i="1"/>
  <c r="F102" i="1"/>
  <c r="J98" i="1"/>
  <c r="G98" i="1"/>
  <c r="F98" i="1"/>
  <c r="N98" i="1" s="1"/>
  <c r="N92" i="1"/>
  <c r="K91" i="1"/>
  <c r="L89" i="1"/>
  <c r="H89" i="1"/>
  <c r="L84" i="1"/>
  <c r="H84" i="1"/>
  <c r="L83" i="1"/>
  <c r="H83" i="1"/>
  <c r="L80" i="1"/>
  <c r="H80" i="1"/>
  <c r="L79" i="1"/>
  <c r="H79" i="1"/>
  <c r="L78" i="1"/>
  <c r="H78" i="1"/>
  <c r="J77" i="1"/>
  <c r="J91" i="1" s="1"/>
  <c r="G77" i="1"/>
  <c r="F77" i="1"/>
  <c r="F91" i="1" s="1"/>
  <c r="N91" i="1" s="1"/>
  <c r="L76" i="1"/>
  <c r="H76" i="1"/>
  <c r="L75" i="1"/>
  <c r="H75" i="1"/>
  <c r="L74" i="1"/>
  <c r="H74" i="1"/>
  <c r="L73" i="1"/>
  <c r="H73" i="1"/>
  <c r="L72" i="1"/>
  <c r="H72" i="1"/>
  <c r="L70" i="1"/>
  <c r="H70" i="1"/>
  <c r="K66" i="1"/>
  <c r="H64" i="1"/>
  <c r="H63" i="1"/>
  <c r="H62" i="1"/>
  <c r="L61" i="1"/>
  <c r="H61" i="1"/>
  <c r="L60" i="1"/>
  <c r="H60" i="1"/>
  <c r="L59" i="1"/>
  <c r="H59" i="1"/>
  <c r="L58" i="1"/>
  <c r="H58" i="1"/>
  <c r="L57" i="1"/>
  <c r="H57" i="1"/>
  <c r="L56" i="1"/>
  <c r="H56" i="1"/>
  <c r="L55" i="1"/>
  <c r="H55" i="1"/>
  <c r="L54" i="1"/>
  <c r="H54" i="1"/>
  <c r="H53" i="1"/>
  <c r="L52" i="1"/>
  <c r="H52" i="1"/>
  <c r="L51" i="1"/>
  <c r="H51" i="1"/>
  <c r="L50" i="1"/>
  <c r="H50" i="1"/>
  <c r="L49" i="1"/>
  <c r="H49" i="1"/>
  <c r="L48" i="1"/>
  <c r="H48" i="1"/>
  <c r="L47" i="1"/>
  <c r="H47" i="1"/>
  <c r="L46" i="1"/>
  <c r="H46" i="1"/>
  <c r="L45" i="1"/>
  <c r="H45" i="1"/>
  <c r="L44" i="1"/>
  <c r="H44" i="1"/>
  <c r="L43" i="1"/>
  <c r="H43" i="1"/>
  <c r="L42" i="1"/>
  <c r="H42" i="1"/>
  <c r="L41" i="1"/>
  <c r="H41" i="1"/>
  <c r="L40" i="1"/>
  <c r="H40" i="1"/>
  <c r="L39" i="1"/>
  <c r="H39" i="1"/>
  <c r="L38" i="1"/>
  <c r="H38" i="1"/>
  <c r="L37" i="1"/>
  <c r="H37" i="1"/>
  <c r="L36" i="1"/>
  <c r="H36" i="1"/>
  <c r="L35" i="1"/>
  <c r="H35" i="1"/>
  <c r="L34" i="1"/>
  <c r="H34" i="1"/>
  <c r="L33" i="1"/>
  <c r="H33" i="1"/>
  <c r="H32" i="1"/>
  <c r="L31" i="1"/>
  <c r="H31" i="1"/>
  <c r="L30" i="1"/>
  <c r="H30" i="1"/>
  <c r="G29" i="1"/>
  <c r="F29" i="1"/>
  <c r="N29" i="1" s="1"/>
  <c r="H28" i="1"/>
  <c r="L27" i="1"/>
  <c r="H27" i="1"/>
  <c r="L26" i="1"/>
  <c r="H26" i="1"/>
  <c r="L25" i="1"/>
  <c r="H25" i="1"/>
  <c r="L24" i="1"/>
  <c r="H24" i="1"/>
  <c r="L23" i="1"/>
  <c r="H23" i="1"/>
  <c r="J22" i="1"/>
  <c r="G22" i="1"/>
  <c r="F22" i="1"/>
  <c r="L21" i="1"/>
  <c r="H21" i="1"/>
  <c r="L20" i="1"/>
  <c r="H20" i="1"/>
  <c r="L19" i="1"/>
  <c r="H19" i="1"/>
  <c r="L18" i="1"/>
  <c r="H18" i="1"/>
  <c r="L17" i="1"/>
  <c r="H17" i="1"/>
  <c r="L16" i="1"/>
  <c r="H16" i="1"/>
  <c r="H15" i="1"/>
  <c r="J14" i="1"/>
  <c r="J8" i="1"/>
  <c r="L8" i="1" s="1"/>
  <c r="F8" i="1"/>
  <c r="L7" i="1"/>
  <c r="H7" i="1"/>
  <c r="K93" i="1" l="1"/>
  <c r="J107" i="1"/>
  <c r="L91" i="1"/>
  <c r="H22" i="1"/>
  <c r="L77" i="1"/>
  <c r="G104" i="1"/>
  <c r="H14" i="1"/>
  <c r="H29" i="1"/>
  <c r="F66" i="1"/>
  <c r="G66" i="1"/>
  <c r="G93" i="1" s="1"/>
  <c r="H8" i="1"/>
  <c r="L28" i="1"/>
  <c r="L32" i="1"/>
  <c r="L53" i="1"/>
  <c r="L62" i="1"/>
  <c r="L63" i="1"/>
  <c r="L64" i="1"/>
  <c r="L14" i="1"/>
  <c r="L15" i="1"/>
  <c r="L22" i="1"/>
  <c r="J29" i="1"/>
  <c r="J66" i="1" s="1"/>
  <c r="H77" i="1"/>
  <c r="F108" i="1" l="1"/>
  <c r="N108" i="1" s="1"/>
  <c r="N66" i="1"/>
  <c r="H66" i="1"/>
  <c r="F107" i="1"/>
  <c r="N107" i="1" s="1"/>
  <c r="H91" i="1"/>
  <c r="F104" i="1"/>
  <c r="N104" i="1" s="1"/>
  <c r="F93" i="1"/>
  <c r="J108" i="1"/>
  <c r="J93" i="1"/>
  <c r="L66" i="1"/>
  <c r="L29" i="1"/>
  <c r="J104" i="1"/>
  <c r="F100" i="1" l="1"/>
  <c r="N100" i="1" s="1"/>
  <c r="N93" i="1"/>
  <c r="J100" i="1"/>
  <c r="J109" i="1"/>
  <c r="F109" i="1"/>
  <c r="N109" i="1" s="1"/>
</calcChain>
</file>

<file path=xl/sharedStrings.xml><?xml version="1.0" encoding="utf-8"?>
<sst xmlns="http://schemas.openxmlformats.org/spreadsheetml/2006/main" count="110" uniqueCount="98">
  <si>
    <t>% Ejec</t>
  </si>
  <si>
    <t xml:space="preserve"> 1T20</t>
  </si>
  <si>
    <t>PPTO 20</t>
  </si>
  <si>
    <t>DIFERENCIA</t>
  </si>
  <si>
    <t>Arrendamiento de  Footocopiadora</t>
  </si>
  <si>
    <t>Mantenimientos</t>
  </si>
  <si>
    <t>Informática Web</t>
  </si>
  <si>
    <t>Fotocopias: mantenimiento</t>
  </si>
  <si>
    <t>Informática Visados</t>
  </si>
  <si>
    <t>Informática mantenimiento</t>
  </si>
  <si>
    <t>Instalaciones: mantenimiento</t>
  </si>
  <si>
    <t>Servicios profesionales independientes</t>
  </si>
  <si>
    <t>Asesoria contable, fiscal y laboral + Controller</t>
  </si>
  <si>
    <t>Auditoria</t>
  </si>
  <si>
    <t>Asesoria financiera</t>
  </si>
  <si>
    <t>Asesoría jurídica</t>
  </si>
  <si>
    <t>Convenio Esamur</t>
  </si>
  <si>
    <t>Otros servicios  profesionales ( Auditores)</t>
  </si>
  <si>
    <t>Cursos</t>
  </si>
  <si>
    <t>Primas de seguros</t>
  </si>
  <si>
    <t>Seguro Responsabilidad Civil</t>
  </si>
  <si>
    <t>Seguro AMIC</t>
  </si>
  <si>
    <t>Otros Seguros</t>
  </si>
  <si>
    <t>Servicios bancarios y similares</t>
  </si>
  <si>
    <t>Comunicación</t>
  </si>
  <si>
    <t>Suministros: Electricidad y Agua</t>
  </si>
  <si>
    <t>Otros servicios</t>
  </si>
  <si>
    <t>Gastos de comunidad</t>
  </si>
  <si>
    <t>Correos y Mensajería</t>
  </si>
  <si>
    <t>Limpieza oficinas</t>
  </si>
  <si>
    <t>Hemeroteca y Biblioteca</t>
  </si>
  <si>
    <t>Telefono, Internet,  Mensajes</t>
  </si>
  <si>
    <t>Material y Consumibles de oficina</t>
  </si>
  <si>
    <t>Plan Estretagico</t>
  </si>
  <si>
    <t>Atenciones Protocolarias</t>
  </si>
  <si>
    <t>Cuotas Consejo General Col.Ingenieros</t>
  </si>
  <si>
    <t>Otros Servicios a Colegiados (carnets, agenda y loteria)</t>
  </si>
  <si>
    <t>Gastos de Juntas de Gobierno</t>
  </si>
  <si>
    <t>Gastos Decano y Vicedecano</t>
  </si>
  <si>
    <t>Gastos de Juntas a Madrid</t>
  </si>
  <si>
    <t>Participación en entidades</t>
  </si>
  <si>
    <t>Desplazamientos</t>
  </si>
  <si>
    <t>Donación Proyectos Desarrollo</t>
  </si>
  <si>
    <t>Cesión cuotas ASOCIACION</t>
  </si>
  <si>
    <t>Viajes Institucionales.</t>
  </si>
  <si>
    <t>Otros Tributos</t>
  </si>
  <si>
    <t>Ajustes negativos en la imposición indirecta</t>
  </si>
  <si>
    <t>Sueldos y salarios empleados</t>
  </si>
  <si>
    <t>Indemnizaciones al personal</t>
  </si>
  <si>
    <t>Seguridad Social</t>
  </si>
  <si>
    <t>Programa formacion de colegiados</t>
  </si>
  <si>
    <t>Subvencion ATECYR colegiados</t>
  </si>
  <si>
    <t>Bonificacion cuotas desempleo</t>
  </si>
  <si>
    <t>Perdidas por cuotas incobradas</t>
  </si>
  <si>
    <t>Perdidas por la venta de fondos de inversion y acciones</t>
  </si>
  <si>
    <t>Perdidas por ajuste de valor de fondos de inversion</t>
  </si>
  <si>
    <t>Ajuste a valor de mercado</t>
  </si>
  <si>
    <t>Otros gastos financieros</t>
  </si>
  <si>
    <t>Gastos excepcionales</t>
  </si>
  <si>
    <t>Amortizacion del inmovilizado intangible</t>
  </si>
  <si>
    <t>Amortizacion del inmovilizado material</t>
  </si>
  <si>
    <t>Dotacion provisiones SRCP</t>
  </si>
  <si>
    <t>TOTAL GASTOS</t>
  </si>
  <si>
    <t>Cuotas colegiados</t>
  </si>
  <si>
    <t>Visados</t>
  </si>
  <si>
    <t>ESAMUR</t>
  </si>
  <si>
    <t>Subvenciones</t>
  </si>
  <si>
    <t>Ingresos por arrendamientos (coworking)</t>
  </si>
  <si>
    <t>Ingresos por servicios diversos</t>
  </si>
  <si>
    <t>Primas Excesos RCP</t>
  </si>
  <si>
    <t>Mutualidad Amic D.F.S.</t>
  </si>
  <si>
    <t>Cuotas colegiados Primas AMIC</t>
  </si>
  <si>
    <t>Agendas y loteria</t>
  </si>
  <si>
    <t>Otros ingresos</t>
  </si>
  <si>
    <t>Colaboraciones y patrocinios</t>
  </si>
  <si>
    <t>Intereses Plazos Fijos</t>
  </si>
  <si>
    <t>Revalorizacion de fondos de inversion</t>
  </si>
  <si>
    <t>Ajuste valor de mercado</t>
  </si>
  <si>
    <t>Bº por la venta de fondos de inversion y acciones</t>
  </si>
  <si>
    <t>Otros ingresos financieros</t>
  </si>
  <si>
    <t>Ingresos excepcionales</t>
  </si>
  <si>
    <t>Reversión del deterioro de cuotas colegio</t>
  </si>
  <si>
    <t>TOTAL INGRESOS</t>
  </si>
  <si>
    <t xml:space="preserve">RESULTADO </t>
  </si>
  <si>
    <t>Desglose del resultado</t>
  </si>
  <si>
    <t xml:space="preserve">RESULTADO FINANCIERO </t>
  </si>
  <si>
    <t>RESULTADO EXPLOTACION</t>
  </si>
  <si>
    <t>RESULTADO EXTRAORDINARIO</t>
  </si>
  <si>
    <t>TOTAL INGRESOS EXPLOTACION</t>
  </si>
  <si>
    <t>TOTAL GASTOS EXPLOTACION</t>
  </si>
  <si>
    <t>RESULTADO DE EXPLOTACION</t>
  </si>
  <si>
    <t>EJECUCION PRESUPUESTO COIIRM  2021</t>
  </si>
  <si>
    <t>1T21</t>
  </si>
  <si>
    <t>PPTO 21</t>
  </si>
  <si>
    <t>Servicio prevencion de riesgos y protección de datos</t>
  </si>
  <si>
    <t>Cuotas sociedades</t>
  </si>
  <si>
    <t>A 31 MARZO</t>
  </si>
  <si>
    <t>Mzo 21-20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</si>
</sst>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Fill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Fill="1"/>
    <xf numFmtId="0" fontId="2" fillId="2" borderId="1" xfId="0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0" xfId="0" applyFont="1" applyFill="1" applyBorder="1"/>
    <xf numFmtId="0" fontId="2" fillId="2" borderId="2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0" fillId="0" borderId="5" xfId="0" applyFont="1" applyBorder="1"/>
    <xf numFmtId="4" fontId="5" fillId="0" borderId="6" xfId="0" applyNumberFormat="1" applyFont="1" applyFill="1" applyBorder="1"/>
    <xf numFmtId="4" fontId="5" fillId="0" borderId="6" xfId="0" applyNumberFormat="1" applyFont="1" applyBorder="1"/>
    <xf numFmtId="9" fontId="5" fillId="0" borderId="6" xfId="1" applyFont="1" applyBorder="1"/>
    <xf numFmtId="9" fontId="5" fillId="0" borderId="0" xfId="1" applyFont="1" applyFill="1" applyBorder="1"/>
    <xf numFmtId="0" fontId="2" fillId="0" borderId="7" xfId="0" applyFont="1" applyBorder="1"/>
    <xf numFmtId="0" fontId="0" fillId="0" borderId="0" xfId="0" applyFont="1" applyBorder="1"/>
    <xf numFmtId="4" fontId="5" fillId="0" borderId="8" xfId="0" applyNumberFormat="1" applyFont="1" applyFill="1" applyBorder="1"/>
    <xf numFmtId="4" fontId="5" fillId="0" borderId="8" xfId="0" applyNumberFormat="1" applyFont="1" applyBorder="1"/>
    <xf numFmtId="9" fontId="5" fillId="0" borderId="9" xfId="1" applyFont="1" applyBorder="1"/>
    <xf numFmtId="0" fontId="0" fillId="0" borderId="4" xfId="0" applyFont="1" applyBorder="1"/>
    <xf numFmtId="4" fontId="6" fillId="0" borderId="10" xfId="0" applyNumberFormat="1" applyFont="1" applyFill="1" applyBorder="1"/>
    <xf numFmtId="4" fontId="6" fillId="0" borderId="10" xfId="0" applyNumberFormat="1" applyFont="1" applyBorder="1"/>
    <xf numFmtId="0" fontId="6" fillId="0" borderId="8" xfId="0" applyFont="1" applyBorder="1"/>
    <xf numFmtId="0" fontId="6" fillId="0" borderId="0" xfId="0" applyFont="1" applyFill="1" applyBorder="1"/>
    <xf numFmtId="0" fontId="0" fillId="0" borderId="7" xfId="0" applyFont="1" applyBorder="1"/>
    <xf numFmtId="4" fontId="6" fillId="0" borderId="8" xfId="0" applyNumberFormat="1" applyFont="1" applyFill="1" applyBorder="1"/>
    <xf numFmtId="4" fontId="6" fillId="0" borderId="8" xfId="0" applyNumberFormat="1" applyFont="1" applyBorder="1"/>
    <xf numFmtId="0" fontId="0" fillId="0" borderId="11" xfId="0" applyFont="1" applyBorder="1"/>
    <xf numFmtId="0" fontId="0" fillId="0" borderId="12" xfId="0" applyFont="1" applyBorder="1"/>
    <xf numFmtId="4" fontId="6" fillId="0" borderId="9" xfId="0" applyNumberFormat="1" applyFont="1" applyBorder="1"/>
    <xf numFmtId="0" fontId="6" fillId="0" borderId="9" xfId="0" applyFont="1" applyBorder="1"/>
    <xf numFmtId="4" fontId="5" fillId="0" borderId="10" xfId="0" applyNumberFormat="1" applyFont="1" applyFill="1" applyBorder="1"/>
    <xf numFmtId="9" fontId="5" fillId="0" borderId="10" xfId="1" applyFont="1" applyFill="1" applyBorder="1"/>
    <xf numFmtId="9" fontId="6" fillId="0" borderId="10" xfId="1" applyFont="1" applyBorder="1"/>
    <xf numFmtId="9" fontId="6" fillId="0" borderId="0" xfId="1" applyFont="1" applyFill="1" applyBorder="1"/>
    <xf numFmtId="9" fontId="6" fillId="0" borderId="8" xfId="1" applyFont="1" applyBorder="1"/>
    <xf numFmtId="4" fontId="6" fillId="0" borderId="9" xfId="0" applyNumberFormat="1" applyFont="1" applyFill="1" applyBorder="1"/>
    <xf numFmtId="9" fontId="6" fillId="0" borderId="9" xfId="1" applyFont="1" applyBorder="1"/>
    <xf numFmtId="4" fontId="5" fillId="0" borderId="9" xfId="0" applyNumberFormat="1" applyFont="1" applyFill="1" applyBorder="1"/>
    <xf numFmtId="9" fontId="5" fillId="0" borderId="9" xfId="1" applyFont="1" applyFill="1" applyBorder="1"/>
    <xf numFmtId="9" fontId="5" fillId="0" borderId="8" xfId="1" applyFont="1" applyBorder="1"/>
    <xf numFmtId="0" fontId="0" fillId="0" borderId="7" xfId="0" applyFont="1" applyFill="1" applyBorder="1"/>
    <xf numFmtId="0" fontId="2" fillId="0" borderId="0" xfId="0" applyFont="1" applyBorder="1"/>
    <xf numFmtId="4" fontId="6" fillId="3" borderId="8" xfId="0" applyNumberFormat="1" applyFont="1" applyFill="1" applyBorder="1"/>
    <xf numFmtId="0" fontId="0" fillId="3" borderId="0" xfId="0" applyFont="1" applyFill="1"/>
    <xf numFmtId="9" fontId="6" fillId="0" borderId="8" xfId="1" applyFont="1" applyFill="1" applyBorder="1"/>
    <xf numFmtId="0" fontId="6" fillId="0" borderId="0" xfId="0" applyFont="1" applyFill="1"/>
    <xf numFmtId="0" fontId="2" fillId="0" borderId="11" xfId="0" applyFont="1" applyBorder="1"/>
    <xf numFmtId="0" fontId="2" fillId="0" borderId="13" xfId="0" applyFont="1" applyBorder="1"/>
    <xf numFmtId="0" fontId="0" fillId="0" borderId="14" xfId="0" applyFont="1" applyBorder="1"/>
    <xf numFmtId="0" fontId="2" fillId="0" borderId="14" xfId="0" applyFont="1" applyBorder="1"/>
    <xf numFmtId="4" fontId="5" fillId="2" borderId="15" xfId="0" applyNumberFormat="1" applyFont="1" applyFill="1" applyBorder="1"/>
    <xf numFmtId="9" fontId="5" fillId="2" borderId="15" xfId="1" applyFont="1" applyFill="1" applyBorder="1"/>
    <xf numFmtId="4" fontId="0" fillId="0" borderId="0" xfId="0" applyNumberFormat="1" applyFont="1" applyBorder="1"/>
    <xf numFmtId="9" fontId="0" fillId="0" borderId="0" xfId="1" applyFont="1" applyBorder="1"/>
    <xf numFmtId="9" fontId="0" fillId="0" borderId="0" xfId="1" applyFont="1" applyFill="1" applyBorder="1"/>
    <xf numFmtId="17" fontId="2" fillId="2" borderId="2" xfId="0" applyNumberFormat="1" applyFont="1" applyFill="1" applyBorder="1" applyAlignment="1">
      <alignment horizontal="right"/>
    </xf>
    <xf numFmtId="0" fontId="2" fillId="0" borderId="16" xfId="0" applyFont="1" applyBorder="1"/>
    <xf numFmtId="0" fontId="2" fillId="0" borderId="17" xfId="0" applyFont="1" applyBorder="1"/>
    <xf numFmtId="0" fontId="0" fillId="0" borderId="17" xfId="0" applyFont="1" applyBorder="1"/>
    <xf numFmtId="0" fontId="0" fillId="0" borderId="18" xfId="0" applyFont="1" applyBorder="1"/>
    <xf numFmtId="4" fontId="5" fillId="0" borderId="2" xfId="0" applyNumberFormat="1" applyFont="1" applyBorder="1"/>
    <xf numFmtId="9" fontId="5" fillId="0" borderId="2" xfId="1" applyFont="1" applyBorder="1"/>
    <xf numFmtId="0" fontId="2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4" fontId="5" fillId="3" borderId="8" xfId="0" applyNumberFormat="1" applyFont="1" applyFill="1" applyBorder="1"/>
    <xf numFmtId="0" fontId="5" fillId="0" borderId="9" xfId="0" applyFont="1" applyFill="1" applyBorder="1"/>
    <xf numFmtId="0" fontId="2" fillId="0" borderId="23" xfId="0" applyFont="1" applyBorder="1"/>
    <xf numFmtId="0" fontId="0" fillId="0" borderId="24" xfId="0" applyFont="1" applyBorder="1"/>
    <xf numFmtId="0" fontId="2" fillId="0" borderId="25" xfId="0" applyFont="1" applyBorder="1"/>
    <xf numFmtId="0" fontId="6" fillId="0" borderId="0" xfId="0" applyFont="1"/>
    <xf numFmtId="0" fontId="5" fillId="0" borderId="26" xfId="0" applyFont="1" applyBorder="1"/>
    <xf numFmtId="4" fontId="5" fillId="2" borderId="1" xfId="0" applyNumberFormat="1" applyFont="1" applyFill="1" applyBorder="1"/>
    <xf numFmtId="4" fontId="5" fillId="0" borderId="0" xfId="0" applyNumberFormat="1" applyFont="1" applyFill="1" applyBorder="1"/>
    <xf numFmtId="4" fontId="6" fillId="0" borderId="0" xfId="0" applyNumberFormat="1" applyFont="1" applyFill="1" applyBorder="1"/>
    <xf numFmtId="0" fontId="8" fillId="0" borderId="0" xfId="0" applyFont="1"/>
    <xf numFmtId="0" fontId="2" fillId="0" borderId="26" xfId="0" applyFont="1" applyBorder="1"/>
    <xf numFmtId="4" fontId="5" fillId="0" borderId="1" xfId="0" applyNumberFormat="1" applyFont="1" applyBorder="1"/>
    <xf numFmtId="4" fontId="5" fillId="0" borderId="1" xfId="0" applyNumberFormat="1" applyFont="1" applyFill="1" applyBorder="1"/>
    <xf numFmtId="4" fontId="7" fillId="0" borderId="1" xfId="0" applyNumberFormat="1" applyFont="1" applyFill="1" applyBorder="1"/>
    <xf numFmtId="0" fontId="6" fillId="0" borderId="8" xfId="0" applyFont="1" applyFill="1" applyBorder="1"/>
    <xf numFmtId="4" fontId="7" fillId="0" borderId="0" xfId="0" applyNumberFormat="1" applyFont="1" applyFill="1" applyBorder="1"/>
    <xf numFmtId="0" fontId="6" fillId="0" borderId="0" xfId="0" applyFont="1" applyBorder="1"/>
    <xf numFmtId="4" fontId="5" fillId="0" borderId="0" xfId="0" applyNumberFormat="1" applyFont="1" applyBorder="1"/>
    <xf numFmtId="0" fontId="2" fillId="2" borderId="26" xfId="0" applyFont="1" applyFill="1" applyBorder="1"/>
    <xf numFmtId="0" fontId="2" fillId="0" borderId="1" xfId="0" applyFont="1" applyFill="1" applyBorder="1"/>
    <xf numFmtId="0" fontId="2" fillId="2" borderId="1" xfId="0" applyFont="1" applyFill="1" applyBorder="1"/>
    <xf numFmtId="4" fontId="6" fillId="0" borderId="20" xfId="0" applyNumberFormat="1" applyFont="1" applyBorder="1"/>
    <xf numFmtId="0" fontId="2" fillId="2" borderId="18" xfId="0" applyFont="1" applyFill="1" applyBorder="1" applyAlignment="1">
      <alignment horizontal="center"/>
    </xf>
    <xf numFmtId="4" fontId="5" fillId="0" borderId="28" xfId="0" applyNumberFormat="1" applyFont="1" applyBorder="1"/>
    <xf numFmtId="4" fontId="5" fillId="0" borderId="20" xfId="0" applyNumberFormat="1" applyFont="1" applyBorder="1"/>
    <xf numFmtId="4" fontId="6" fillId="0" borderId="21" xfId="0" applyNumberFormat="1" applyFont="1" applyBorder="1"/>
    <xf numFmtId="4" fontId="6" fillId="0" borderId="22" xfId="0" applyNumberFormat="1" applyFont="1" applyBorder="1"/>
    <xf numFmtId="4" fontId="5" fillId="0" borderId="20" xfId="0" applyNumberFormat="1" applyFont="1" applyFill="1" applyBorder="1"/>
    <xf numFmtId="4" fontId="6" fillId="0" borderId="21" xfId="0" applyNumberFormat="1" applyFont="1" applyFill="1" applyBorder="1"/>
    <xf numFmtId="4" fontId="6" fillId="0" borderId="20" xfId="0" applyNumberFormat="1" applyFont="1" applyFill="1" applyBorder="1"/>
    <xf numFmtId="4" fontId="5" fillId="2" borderId="25" xfId="0" applyNumberFormat="1" applyFont="1" applyFill="1" applyBorder="1"/>
    <xf numFmtId="4" fontId="5" fillId="2" borderId="27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39"/>
  <sheetViews>
    <sheetView tabSelected="1" zoomScaleNormal="100" workbookViewId="0">
      <selection activeCell="J3" sqref="J3"/>
    </sheetView>
  </sheetViews>
  <sheetFormatPr baseColWidth="10" defaultRowHeight="15" x14ac:dyDescent="0.25"/>
  <cols>
    <col min="1" max="1" width="4" style="2" bestFit="1" customWidth="1"/>
    <col min="2" max="2" width="5.140625" style="1" bestFit="1" customWidth="1"/>
    <col min="3" max="4" width="11.42578125" style="2"/>
    <col min="5" max="5" width="33.42578125" style="2" customWidth="1"/>
    <col min="6" max="7" width="10.140625" style="2" bestFit="1" customWidth="1"/>
    <col min="8" max="8" width="8.42578125" style="2" bestFit="1" customWidth="1"/>
    <col min="9" max="9" width="8.42578125" style="3" customWidth="1"/>
    <col min="10" max="10" width="11.42578125" style="2"/>
    <col min="11" max="11" width="10.140625" style="2" bestFit="1" customWidth="1"/>
    <col min="12" max="12" width="10.140625" style="2" customWidth="1"/>
    <col min="13" max="13" width="10.140625" style="3" customWidth="1"/>
    <col min="14" max="14" width="10.85546875" style="2" customWidth="1"/>
    <col min="15" max="16384" width="11.42578125" style="2"/>
  </cols>
  <sheetData>
    <row r="3" spans="2:14" ht="18.75" x14ac:dyDescent="0.3">
      <c r="D3" s="4" t="s">
        <v>91</v>
      </c>
    </row>
    <row r="4" spans="2:14" ht="15.75" thickBot="1" x14ac:dyDescent="0.3"/>
    <row r="5" spans="2:14" ht="15.75" thickBot="1" x14ac:dyDescent="0.3">
      <c r="E5" s="5" t="s">
        <v>96</v>
      </c>
      <c r="F5" s="6"/>
      <c r="N5" s="7" t="s">
        <v>97</v>
      </c>
    </row>
    <row r="6" spans="2:14" ht="15.75" x14ac:dyDescent="0.25">
      <c r="F6" s="8">
        <v>44286</v>
      </c>
      <c r="G6" s="9" t="s">
        <v>93</v>
      </c>
      <c r="H6" s="10" t="s">
        <v>0</v>
      </c>
      <c r="I6" s="11"/>
      <c r="J6" s="8">
        <v>43921</v>
      </c>
      <c r="K6" s="96" t="s">
        <v>2</v>
      </c>
      <c r="L6" s="10" t="s">
        <v>0</v>
      </c>
      <c r="M6" s="11"/>
      <c r="N6" s="12" t="s">
        <v>3</v>
      </c>
    </row>
    <row r="7" spans="2:14" x14ac:dyDescent="0.25">
      <c r="B7" s="13">
        <v>621</v>
      </c>
      <c r="C7" s="14" t="s">
        <v>4</v>
      </c>
      <c r="D7" s="15"/>
      <c r="E7" s="15"/>
      <c r="F7" s="16">
        <v>397.26</v>
      </c>
      <c r="G7" s="17">
        <v>2000</v>
      </c>
      <c r="H7" s="18">
        <f>+F7/G7</f>
        <v>0.19863</v>
      </c>
      <c r="I7" s="19"/>
      <c r="J7" s="16">
        <v>397.26</v>
      </c>
      <c r="K7" s="97">
        <v>2000</v>
      </c>
      <c r="L7" s="18">
        <f>+J7/K7</f>
        <v>0.19863</v>
      </c>
      <c r="M7" s="19"/>
      <c r="N7" s="17">
        <f t="shared" ref="N7:N16" si="0">+F7-J7</f>
        <v>0</v>
      </c>
    </row>
    <row r="8" spans="2:14" x14ac:dyDescent="0.25">
      <c r="B8" s="20">
        <v>622</v>
      </c>
      <c r="C8" s="1" t="s">
        <v>5</v>
      </c>
      <c r="E8" s="21"/>
      <c r="F8" s="22">
        <f>+F9+F10+F11+F12+F13</f>
        <v>2742.4500000000003</v>
      </c>
      <c r="G8" s="23">
        <v>12000</v>
      </c>
      <c r="H8" s="24">
        <f>+F8/G8</f>
        <v>0.22853750000000003</v>
      </c>
      <c r="I8" s="19"/>
      <c r="J8" s="22">
        <f>SUM(J9:J13)</f>
        <v>2072.0700000000002</v>
      </c>
      <c r="K8" s="98">
        <v>12500</v>
      </c>
      <c r="L8" s="24">
        <f>+J8/K8</f>
        <v>0.16576560000000001</v>
      </c>
      <c r="M8" s="19"/>
      <c r="N8" s="23">
        <f t="shared" si="0"/>
        <v>670.38000000000011</v>
      </c>
    </row>
    <row r="9" spans="2:14" x14ac:dyDescent="0.25">
      <c r="B9" s="20"/>
      <c r="C9" s="25" t="s">
        <v>6</v>
      </c>
      <c r="D9" s="15"/>
      <c r="E9" s="15"/>
      <c r="F9" s="26">
        <v>1049.1600000000001</v>
      </c>
      <c r="G9" s="27"/>
      <c r="H9" s="28"/>
      <c r="I9" s="29"/>
      <c r="J9" s="26">
        <v>877.44</v>
      </c>
      <c r="K9" s="99"/>
      <c r="L9" s="28"/>
      <c r="M9" s="29"/>
      <c r="N9" s="27">
        <f t="shared" si="0"/>
        <v>171.72000000000003</v>
      </c>
    </row>
    <row r="10" spans="2:14" x14ac:dyDescent="0.25">
      <c r="B10" s="20"/>
      <c r="C10" s="30" t="s">
        <v>7</v>
      </c>
      <c r="E10" s="21"/>
      <c r="F10" s="31"/>
      <c r="G10" s="32"/>
      <c r="H10" s="28"/>
      <c r="I10" s="29"/>
      <c r="J10" s="31">
        <v>0</v>
      </c>
      <c r="K10" s="95"/>
      <c r="L10" s="28"/>
      <c r="M10" s="29"/>
      <c r="N10" s="32">
        <f t="shared" si="0"/>
        <v>0</v>
      </c>
    </row>
    <row r="11" spans="2:14" x14ac:dyDescent="0.25">
      <c r="B11" s="20"/>
      <c r="C11" s="30" t="s">
        <v>8</v>
      </c>
      <c r="E11" s="21"/>
      <c r="F11" s="31">
        <v>997.32</v>
      </c>
      <c r="G11" s="32"/>
      <c r="H11" s="28"/>
      <c r="I11" s="29"/>
      <c r="J11" s="31">
        <v>498.66</v>
      </c>
      <c r="K11" s="95"/>
      <c r="L11" s="28"/>
      <c r="M11" s="29"/>
      <c r="N11" s="32">
        <f t="shared" si="0"/>
        <v>498.66</v>
      </c>
    </row>
    <row r="12" spans="2:14" x14ac:dyDescent="0.25">
      <c r="B12" s="20"/>
      <c r="C12" s="30" t="s">
        <v>9</v>
      </c>
      <c r="E12" s="21"/>
      <c r="F12" s="31">
        <v>576.09</v>
      </c>
      <c r="G12" s="32"/>
      <c r="H12" s="28"/>
      <c r="I12" s="29"/>
      <c r="J12" s="31">
        <v>576.09</v>
      </c>
      <c r="K12" s="95"/>
      <c r="L12" s="28"/>
      <c r="M12" s="29"/>
      <c r="N12" s="32">
        <f t="shared" si="0"/>
        <v>0</v>
      </c>
    </row>
    <row r="13" spans="2:14" x14ac:dyDescent="0.25">
      <c r="B13" s="20"/>
      <c r="C13" s="33" t="s">
        <v>10</v>
      </c>
      <c r="D13" s="34"/>
      <c r="E13" s="34"/>
      <c r="F13" s="31">
        <v>119.88</v>
      </c>
      <c r="G13" s="35"/>
      <c r="H13" s="36"/>
      <c r="I13" s="29"/>
      <c r="J13" s="31">
        <v>119.88</v>
      </c>
      <c r="K13" s="100"/>
      <c r="L13" s="36"/>
      <c r="M13" s="29"/>
      <c r="N13" s="35">
        <f t="shared" si="0"/>
        <v>0</v>
      </c>
    </row>
    <row r="14" spans="2:14" x14ac:dyDescent="0.25">
      <c r="B14" s="20">
        <v>623</v>
      </c>
      <c r="C14" s="1" t="s">
        <v>11</v>
      </c>
      <c r="E14" s="21"/>
      <c r="F14" s="37">
        <f>+F15+F17+F18+F19+F20+F21</f>
        <v>6469.3099999999995</v>
      </c>
      <c r="G14" s="23">
        <f>SUM(G15:G21)</f>
        <v>30500</v>
      </c>
      <c r="H14" s="38">
        <f t="shared" ref="H14:H59" si="1">+F14/G14</f>
        <v>0.21210852459016391</v>
      </c>
      <c r="I14" s="19"/>
      <c r="J14" s="16">
        <f>SUM(J15:J21)</f>
        <v>16165.8</v>
      </c>
      <c r="K14" s="97">
        <v>40700</v>
      </c>
      <c r="L14" s="38">
        <f t="shared" ref="L14:L59" si="2">+J14/K14</f>
        <v>0.3971941031941032</v>
      </c>
      <c r="M14" s="19"/>
      <c r="N14" s="17">
        <f t="shared" si="0"/>
        <v>-9696.49</v>
      </c>
    </row>
    <row r="15" spans="2:14" x14ac:dyDescent="0.25">
      <c r="B15" s="20"/>
      <c r="C15" s="25" t="s">
        <v>12</v>
      </c>
      <c r="D15" s="15"/>
      <c r="E15" s="15"/>
      <c r="F15" s="26">
        <f>1246.04+600</f>
        <v>1846.04</v>
      </c>
      <c r="G15" s="27">
        <v>8000</v>
      </c>
      <c r="H15" s="39">
        <f t="shared" si="1"/>
        <v>0.23075499999999999</v>
      </c>
      <c r="I15" s="40"/>
      <c r="J15" s="26">
        <f>1200+450</f>
        <v>1650</v>
      </c>
      <c r="K15" s="95">
        <v>8000</v>
      </c>
      <c r="L15" s="39">
        <f t="shared" si="2"/>
        <v>0.20624999999999999</v>
      </c>
      <c r="M15" s="40"/>
      <c r="N15" s="32">
        <f t="shared" si="0"/>
        <v>196.03999999999996</v>
      </c>
    </row>
    <row r="16" spans="2:14" x14ac:dyDescent="0.25">
      <c r="B16" s="20"/>
      <c r="C16" s="30" t="s">
        <v>13</v>
      </c>
      <c r="D16" s="21"/>
      <c r="E16" s="21"/>
      <c r="F16" s="31"/>
      <c r="G16" s="32">
        <v>0</v>
      </c>
      <c r="H16" s="41" t="e">
        <f t="shared" si="1"/>
        <v>#DIV/0!</v>
      </c>
      <c r="I16" s="40"/>
      <c r="J16" s="31">
        <v>0</v>
      </c>
      <c r="K16" s="95">
        <v>2200</v>
      </c>
      <c r="L16" s="41">
        <f t="shared" si="2"/>
        <v>0</v>
      </c>
      <c r="M16" s="40"/>
      <c r="N16" s="32">
        <f t="shared" si="0"/>
        <v>0</v>
      </c>
    </row>
    <row r="17" spans="2:17" x14ac:dyDescent="0.25">
      <c r="B17" s="20"/>
      <c r="C17" s="30" t="s">
        <v>14</v>
      </c>
      <c r="D17" s="21"/>
      <c r="E17" s="21"/>
      <c r="F17" s="31">
        <v>993.27</v>
      </c>
      <c r="G17" s="32">
        <v>6500</v>
      </c>
      <c r="H17" s="41">
        <f t="shared" si="1"/>
        <v>0.15281076923076922</v>
      </c>
      <c r="I17" s="40"/>
      <c r="J17" s="31">
        <v>1050.5999999999999</v>
      </c>
      <c r="K17" s="95">
        <v>6500</v>
      </c>
      <c r="L17" s="41">
        <f t="shared" si="2"/>
        <v>0.16163076923076922</v>
      </c>
      <c r="M17" s="40"/>
      <c r="N17" s="32">
        <f t="shared" ref="N17:N20" si="3">+F17-J17</f>
        <v>-57.329999999999927</v>
      </c>
      <c r="O17" s="6"/>
      <c r="P17" s="6"/>
      <c r="Q17" s="6"/>
    </row>
    <row r="18" spans="2:17" x14ac:dyDescent="0.25">
      <c r="B18" s="20"/>
      <c r="C18" s="30" t="s">
        <v>15</v>
      </c>
      <c r="D18" s="21"/>
      <c r="E18" s="21"/>
      <c r="F18" s="31">
        <v>3450</v>
      </c>
      <c r="G18" s="32">
        <v>15000</v>
      </c>
      <c r="H18" s="41">
        <f t="shared" si="1"/>
        <v>0.23</v>
      </c>
      <c r="I18" s="40"/>
      <c r="J18" s="31">
        <v>3965.2</v>
      </c>
      <c r="K18" s="95">
        <v>18000</v>
      </c>
      <c r="L18" s="41">
        <f t="shared" si="2"/>
        <v>0.22028888888888887</v>
      </c>
      <c r="M18" s="40"/>
      <c r="N18" s="32">
        <f t="shared" si="3"/>
        <v>-515.19999999999982</v>
      </c>
    </row>
    <row r="19" spans="2:17" x14ac:dyDescent="0.25">
      <c r="B19" s="20"/>
      <c r="C19" s="30" t="s">
        <v>16</v>
      </c>
      <c r="D19" s="21"/>
      <c r="E19" s="21"/>
      <c r="F19" s="31"/>
      <c r="G19" s="32">
        <v>0</v>
      </c>
      <c r="H19" s="41" t="e">
        <f t="shared" si="1"/>
        <v>#DIV/0!</v>
      </c>
      <c r="I19" s="40"/>
      <c r="J19" s="31">
        <v>0</v>
      </c>
      <c r="K19" s="95">
        <v>0</v>
      </c>
      <c r="L19" s="41" t="e">
        <f t="shared" si="2"/>
        <v>#DIV/0!</v>
      </c>
      <c r="M19" s="40"/>
      <c r="N19" s="32">
        <f t="shared" si="3"/>
        <v>0</v>
      </c>
    </row>
    <row r="20" spans="2:17" x14ac:dyDescent="0.25">
      <c r="B20" s="20"/>
      <c r="C20" s="30" t="s">
        <v>17</v>
      </c>
      <c r="D20" s="21"/>
      <c r="E20" s="21"/>
      <c r="F20" s="31"/>
      <c r="G20" s="32">
        <v>0</v>
      </c>
      <c r="H20" s="41" t="e">
        <f t="shared" si="1"/>
        <v>#DIV/0!</v>
      </c>
      <c r="I20" s="40"/>
      <c r="J20" s="31">
        <v>0</v>
      </c>
      <c r="K20" s="95">
        <v>5000</v>
      </c>
      <c r="L20" s="41">
        <f t="shared" si="2"/>
        <v>0</v>
      </c>
      <c r="M20" s="40"/>
      <c r="N20" s="32">
        <f t="shared" si="3"/>
        <v>0</v>
      </c>
    </row>
    <row r="21" spans="2:17" x14ac:dyDescent="0.25">
      <c r="B21" s="20"/>
      <c r="C21" s="33" t="s">
        <v>18</v>
      </c>
      <c r="D21" s="34"/>
      <c r="E21" s="34"/>
      <c r="F21" s="42">
        <v>180</v>
      </c>
      <c r="G21" s="35">
        <v>1000</v>
      </c>
      <c r="H21" s="43">
        <f t="shared" si="1"/>
        <v>0.18</v>
      </c>
      <c r="I21" s="40"/>
      <c r="J21" s="31">
        <v>9500</v>
      </c>
      <c r="K21" s="100">
        <v>1000</v>
      </c>
      <c r="L21" s="43">
        <f t="shared" si="2"/>
        <v>9.5</v>
      </c>
      <c r="M21" s="40"/>
      <c r="N21" s="35">
        <f t="shared" ref="N21:N31" si="4">+F21-J21</f>
        <v>-9320</v>
      </c>
    </row>
    <row r="22" spans="2:17" x14ac:dyDescent="0.25">
      <c r="B22" s="20">
        <v>625</v>
      </c>
      <c r="C22" s="1" t="s">
        <v>19</v>
      </c>
      <c r="E22" s="21"/>
      <c r="F22" s="44">
        <f>+F23+F24+F25</f>
        <v>4577.7700000000004</v>
      </c>
      <c r="G22" s="23">
        <f>SUM(G23:G25)</f>
        <v>86300</v>
      </c>
      <c r="H22" s="45">
        <f t="shared" si="1"/>
        <v>5.3044843568945545E-2</v>
      </c>
      <c r="I22" s="19"/>
      <c r="J22" s="16">
        <f>SUM(J23:J25)</f>
        <v>4715.5300000000007</v>
      </c>
      <c r="K22" s="98">
        <v>89300</v>
      </c>
      <c r="L22" s="45">
        <f t="shared" si="2"/>
        <v>5.2805487122060478E-2</v>
      </c>
      <c r="M22" s="19"/>
      <c r="N22" s="23">
        <f t="shared" si="4"/>
        <v>-137.76000000000022</v>
      </c>
    </row>
    <row r="23" spans="2:17" x14ac:dyDescent="0.25">
      <c r="B23" s="20"/>
      <c r="C23" s="25" t="s">
        <v>20</v>
      </c>
      <c r="D23" s="15"/>
      <c r="E23" s="15"/>
      <c r="F23" s="26"/>
      <c r="G23" s="27">
        <v>70000</v>
      </c>
      <c r="H23" s="41">
        <f t="shared" si="1"/>
        <v>0</v>
      </c>
      <c r="I23" s="40"/>
      <c r="J23" s="26">
        <v>0</v>
      </c>
      <c r="K23" s="99">
        <v>70000</v>
      </c>
      <c r="L23" s="41">
        <f t="shared" si="2"/>
        <v>0</v>
      </c>
      <c r="M23" s="40"/>
      <c r="N23" s="27">
        <f t="shared" si="4"/>
        <v>0</v>
      </c>
    </row>
    <row r="24" spans="2:17" x14ac:dyDescent="0.25">
      <c r="B24" s="20"/>
      <c r="C24" s="30" t="s">
        <v>21</v>
      </c>
      <c r="E24" s="21"/>
      <c r="F24" s="31">
        <v>4107.2700000000004</v>
      </c>
      <c r="G24" s="32">
        <v>15000</v>
      </c>
      <c r="H24" s="41">
        <f t="shared" si="1"/>
        <v>0.27381800000000001</v>
      </c>
      <c r="I24" s="40"/>
      <c r="J24" s="31">
        <v>4214.8900000000003</v>
      </c>
      <c r="K24" s="95">
        <v>18000</v>
      </c>
      <c r="L24" s="41">
        <f t="shared" si="2"/>
        <v>0.23416055555555557</v>
      </c>
      <c r="M24" s="40"/>
      <c r="N24" s="32">
        <f t="shared" si="4"/>
        <v>-107.61999999999989</v>
      </c>
    </row>
    <row r="25" spans="2:17" x14ac:dyDescent="0.25">
      <c r="B25" s="20"/>
      <c r="C25" s="33" t="s">
        <v>22</v>
      </c>
      <c r="D25" s="34"/>
      <c r="E25" s="34"/>
      <c r="F25" s="31">
        <v>470.5</v>
      </c>
      <c r="G25" s="35">
        <v>1300</v>
      </c>
      <c r="H25" s="43">
        <f t="shared" si="1"/>
        <v>0.3619230769230769</v>
      </c>
      <c r="I25" s="40"/>
      <c r="J25" s="31">
        <v>500.64</v>
      </c>
      <c r="K25" s="100">
        <v>1300</v>
      </c>
      <c r="L25" s="43">
        <f t="shared" si="2"/>
        <v>0.38510769230769232</v>
      </c>
      <c r="M25" s="40"/>
      <c r="N25" s="35">
        <f t="shared" si="4"/>
        <v>-30.139999999999986</v>
      </c>
    </row>
    <row r="26" spans="2:17" x14ac:dyDescent="0.25">
      <c r="B26" s="20">
        <v>626</v>
      </c>
      <c r="C26" s="1" t="s">
        <v>23</v>
      </c>
      <c r="E26" s="21"/>
      <c r="F26" s="37">
        <v>144.53</v>
      </c>
      <c r="G26" s="23">
        <v>500</v>
      </c>
      <c r="H26" s="46">
        <f t="shared" si="1"/>
        <v>0.28905999999999998</v>
      </c>
      <c r="I26" s="19"/>
      <c r="J26" s="37">
        <v>29.2</v>
      </c>
      <c r="K26" s="98">
        <v>1250</v>
      </c>
      <c r="L26" s="46">
        <f t="shared" si="2"/>
        <v>2.3359999999999999E-2</v>
      </c>
      <c r="M26" s="19"/>
      <c r="N26" s="23">
        <f t="shared" si="4"/>
        <v>115.33</v>
      </c>
    </row>
    <row r="27" spans="2:17" x14ac:dyDescent="0.25">
      <c r="B27" s="20">
        <v>627</v>
      </c>
      <c r="C27" s="1" t="s">
        <v>24</v>
      </c>
      <c r="E27" s="21"/>
      <c r="F27" s="22">
        <v>1050</v>
      </c>
      <c r="G27" s="23">
        <v>6000</v>
      </c>
      <c r="H27" s="46">
        <f t="shared" si="1"/>
        <v>0.17499999999999999</v>
      </c>
      <c r="I27" s="19"/>
      <c r="J27" s="22">
        <v>350</v>
      </c>
      <c r="K27" s="98">
        <v>8000</v>
      </c>
      <c r="L27" s="46">
        <f t="shared" si="2"/>
        <v>4.3749999999999997E-2</v>
      </c>
      <c r="M27" s="19"/>
      <c r="N27" s="23">
        <f t="shared" si="4"/>
        <v>700</v>
      </c>
    </row>
    <row r="28" spans="2:17" x14ac:dyDescent="0.25">
      <c r="B28" s="20">
        <v>628</v>
      </c>
      <c r="C28" s="1" t="s">
        <v>25</v>
      </c>
      <c r="E28" s="21"/>
      <c r="F28" s="22">
        <v>1034.0999999999999</v>
      </c>
      <c r="G28" s="23">
        <v>5000</v>
      </c>
      <c r="H28" s="46">
        <f t="shared" si="1"/>
        <v>0.20681999999999998</v>
      </c>
      <c r="I28" s="19"/>
      <c r="J28" s="22">
        <f>872.65+146.2</f>
        <v>1018.8499999999999</v>
      </c>
      <c r="K28" s="98">
        <v>6000</v>
      </c>
      <c r="L28" s="46">
        <f t="shared" si="2"/>
        <v>0.16980833333333331</v>
      </c>
      <c r="M28" s="19"/>
      <c r="N28" s="23">
        <f t="shared" si="4"/>
        <v>15.25</v>
      </c>
    </row>
    <row r="29" spans="2:17" x14ac:dyDescent="0.25">
      <c r="B29" s="20">
        <v>629</v>
      </c>
      <c r="C29" s="1" t="s">
        <v>26</v>
      </c>
      <c r="E29" s="21"/>
      <c r="F29" s="44">
        <f>SUM(F30:F48)</f>
        <v>5395.26</v>
      </c>
      <c r="G29" s="22">
        <f>SUM(G30:G48)</f>
        <v>42600</v>
      </c>
      <c r="H29" s="45">
        <f t="shared" si="1"/>
        <v>0.1266492957746479</v>
      </c>
      <c r="I29" s="19"/>
      <c r="J29" s="44">
        <f>SUM(J30:J48)</f>
        <v>5066.4399999999996</v>
      </c>
      <c r="K29" s="101">
        <v>46600</v>
      </c>
      <c r="L29" s="45">
        <f t="shared" si="2"/>
        <v>0.10872188841201716</v>
      </c>
      <c r="M29" s="19"/>
      <c r="N29" s="22">
        <f t="shared" si="4"/>
        <v>328.82000000000062</v>
      </c>
    </row>
    <row r="30" spans="2:17" x14ac:dyDescent="0.25">
      <c r="B30" s="20"/>
      <c r="C30" s="25" t="s">
        <v>27</v>
      </c>
      <c r="D30" s="15"/>
      <c r="E30" s="15"/>
      <c r="F30" s="31">
        <v>1312.02</v>
      </c>
      <c r="G30" s="26">
        <v>5600</v>
      </c>
      <c r="H30" s="41">
        <f t="shared" si="1"/>
        <v>0.2342892857142857</v>
      </c>
      <c r="I30" s="40"/>
      <c r="J30" s="31">
        <v>1204.31</v>
      </c>
      <c r="K30" s="102">
        <v>5600</v>
      </c>
      <c r="L30" s="41">
        <f t="shared" si="2"/>
        <v>0.21505535714285715</v>
      </c>
      <c r="M30" s="40"/>
      <c r="N30" s="26">
        <f t="shared" si="4"/>
        <v>107.71000000000004</v>
      </c>
    </row>
    <row r="31" spans="2:17" x14ac:dyDescent="0.25">
      <c r="B31" s="20"/>
      <c r="C31" s="30" t="s">
        <v>28</v>
      </c>
      <c r="E31" s="21"/>
      <c r="F31" s="31">
        <v>15.3</v>
      </c>
      <c r="G31" s="31">
        <v>1000</v>
      </c>
      <c r="H31" s="41">
        <f t="shared" si="1"/>
        <v>1.5300000000000001E-2</v>
      </c>
      <c r="I31" s="40"/>
      <c r="J31" s="31">
        <v>29.82</v>
      </c>
      <c r="K31" s="103">
        <v>1500</v>
      </c>
      <c r="L31" s="41">
        <f t="shared" si="2"/>
        <v>1.9880000000000002E-2</v>
      </c>
      <c r="M31" s="40"/>
      <c r="N31" s="31">
        <f t="shared" si="4"/>
        <v>-14.52</v>
      </c>
    </row>
    <row r="32" spans="2:17" x14ac:dyDescent="0.25">
      <c r="B32" s="20"/>
      <c r="C32" s="30" t="s">
        <v>29</v>
      </c>
      <c r="E32" s="21"/>
      <c r="F32" s="31">
        <f>618.24+70</f>
        <v>688.24</v>
      </c>
      <c r="G32" s="31">
        <v>2000</v>
      </c>
      <c r="H32" s="41">
        <f t="shared" si="1"/>
        <v>0.34411999999999998</v>
      </c>
      <c r="I32" s="40"/>
      <c r="J32" s="31">
        <f>272.16+210</f>
        <v>482.16</v>
      </c>
      <c r="K32" s="103">
        <v>2000</v>
      </c>
      <c r="L32" s="41">
        <f t="shared" si="2"/>
        <v>0.24108000000000002</v>
      </c>
      <c r="M32" s="40"/>
      <c r="N32" s="31">
        <f t="shared" ref="N32:N46" si="5">+F32-J32</f>
        <v>206.07999999999998</v>
      </c>
    </row>
    <row r="33" spans="2:14" x14ac:dyDescent="0.25">
      <c r="B33" s="20"/>
      <c r="C33" s="30" t="s">
        <v>30</v>
      </c>
      <c r="E33" s="21"/>
      <c r="F33" s="31"/>
      <c r="G33" s="31">
        <v>0</v>
      </c>
      <c r="H33" s="41" t="e">
        <f t="shared" si="1"/>
        <v>#DIV/0!</v>
      </c>
      <c r="I33" s="40"/>
      <c r="J33" s="31"/>
      <c r="K33" s="103">
        <v>0</v>
      </c>
      <c r="L33" s="41" t="e">
        <f t="shared" si="2"/>
        <v>#DIV/0!</v>
      </c>
      <c r="M33" s="40"/>
      <c r="N33" s="31">
        <f t="shared" si="5"/>
        <v>0</v>
      </c>
    </row>
    <row r="34" spans="2:14" x14ac:dyDescent="0.25">
      <c r="B34" s="20"/>
      <c r="C34" s="30" t="s">
        <v>31</v>
      </c>
      <c r="E34" s="21"/>
      <c r="F34" s="31">
        <v>749.4</v>
      </c>
      <c r="G34" s="31">
        <v>3000</v>
      </c>
      <c r="H34" s="41">
        <f t="shared" si="1"/>
        <v>0.24979999999999999</v>
      </c>
      <c r="I34" s="40"/>
      <c r="J34" s="31">
        <v>750.05</v>
      </c>
      <c r="K34" s="103">
        <v>3000</v>
      </c>
      <c r="L34" s="41">
        <f t="shared" si="2"/>
        <v>0.25001666666666666</v>
      </c>
      <c r="M34" s="40"/>
      <c r="N34" s="31">
        <f t="shared" si="5"/>
        <v>-0.64999999999997726</v>
      </c>
    </row>
    <row r="35" spans="2:14" x14ac:dyDescent="0.25">
      <c r="B35" s="20"/>
      <c r="C35" s="30" t="s">
        <v>32</v>
      </c>
      <c r="E35" s="21"/>
      <c r="F35" s="31">
        <v>71.86</v>
      </c>
      <c r="G35" s="31">
        <v>1500</v>
      </c>
      <c r="H35" s="41">
        <f t="shared" si="1"/>
        <v>4.7906666666666667E-2</v>
      </c>
      <c r="I35" s="40"/>
      <c r="J35" s="31">
        <f>55.8+96.85</f>
        <v>152.64999999999998</v>
      </c>
      <c r="K35" s="103">
        <v>2500</v>
      </c>
      <c r="L35" s="41">
        <f t="shared" si="2"/>
        <v>6.1059999999999989E-2</v>
      </c>
      <c r="M35" s="40"/>
      <c r="N35" s="31">
        <f t="shared" si="5"/>
        <v>-80.789999999999978</v>
      </c>
    </row>
    <row r="36" spans="2:14" x14ac:dyDescent="0.25">
      <c r="B36" s="20"/>
      <c r="C36" s="30" t="s">
        <v>33</v>
      </c>
      <c r="E36" s="21"/>
      <c r="F36" s="31"/>
      <c r="G36" s="31">
        <v>0</v>
      </c>
      <c r="H36" s="41" t="e">
        <f t="shared" si="1"/>
        <v>#DIV/0!</v>
      </c>
      <c r="I36" s="40"/>
      <c r="J36" s="31"/>
      <c r="K36" s="103">
        <v>3000</v>
      </c>
      <c r="L36" s="41">
        <f t="shared" si="2"/>
        <v>0</v>
      </c>
      <c r="M36" s="40"/>
      <c r="N36" s="31">
        <f t="shared" si="5"/>
        <v>0</v>
      </c>
    </row>
    <row r="37" spans="2:14" x14ac:dyDescent="0.25">
      <c r="B37" s="20"/>
      <c r="C37" s="30" t="s">
        <v>34</v>
      </c>
      <c r="E37" s="21"/>
      <c r="F37" s="31"/>
      <c r="G37" s="31">
        <v>0</v>
      </c>
      <c r="H37" s="41" t="e">
        <f t="shared" si="1"/>
        <v>#DIV/0!</v>
      </c>
      <c r="I37" s="40"/>
      <c r="J37" s="31"/>
      <c r="K37" s="103">
        <v>1000</v>
      </c>
      <c r="L37" s="41">
        <f t="shared" si="2"/>
        <v>0</v>
      </c>
      <c r="M37" s="40"/>
      <c r="N37" s="31">
        <f t="shared" si="5"/>
        <v>0</v>
      </c>
    </row>
    <row r="38" spans="2:14" x14ac:dyDescent="0.25">
      <c r="B38" s="20"/>
      <c r="C38" s="47" t="s">
        <v>35</v>
      </c>
      <c r="D38" s="6"/>
      <c r="E38" s="3"/>
      <c r="F38" s="31">
        <v>2201.5300000000002</v>
      </c>
      <c r="G38" s="31">
        <v>8500</v>
      </c>
      <c r="H38" s="41">
        <f t="shared" si="1"/>
        <v>0.25900352941176474</v>
      </c>
      <c r="I38" s="40"/>
      <c r="J38" s="31">
        <v>2174.7800000000002</v>
      </c>
      <c r="K38" s="103">
        <v>7500</v>
      </c>
      <c r="L38" s="41">
        <f t="shared" si="2"/>
        <v>0.28997066666666671</v>
      </c>
      <c r="M38" s="40"/>
      <c r="N38" s="31">
        <f t="shared" si="5"/>
        <v>26.75</v>
      </c>
    </row>
    <row r="39" spans="2:14" x14ac:dyDescent="0.25">
      <c r="B39" s="20"/>
      <c r="C39" s="30" t="s">
        <v>36</v>
      </c>
      <c r="E39" s="21"/>
      <c r="F39" s="31"/>
      <c r="G39" s="32">
        <v>3000</v>
      </c>
      <c r="H39" s="41">
        <f t="shared" si="1"/>
        <v>0</v>
      </c>
      <c r="I39" s="40"/>
      <c r="J39" s="31"/>
      <c r="K39" s="95">
        <v>500</v>
      </c>
      <c r="L39" s="41">
        <f t="shared" si="2"/>
        <v>0</v>
      </c>
      <c r="M39" s="40"/>
      <c r="N39" s="31">
        <f t="shared" si="5"/>
        <v>0</v>
      </c>
    </row>
    <row r="40" spans="2:14" x14ac:dyDescent="0.25">
      <c r="B40" s="20"/>
      <c r="C40" s="30" t="s">
        <v>94</v>
      </c>
      <c r="E40" s="21"/>
      <c r="F40" s="31">
        <v>119.01</v>
      </c>
      <c r="G40" s="32">
        <v>900</v>
      </c>
      <c r="H40" s="41">
        <f t="shared" si="1"/>
        <v>0.13223333333333334</v>
      </c>
      <c r="I40" s="40"/>
      <c r="J40" s="31"/>
      <c r="K40" s="95">
        <v>400</v>
      </c>
      <c r="L40" s="41">
        <f t="shared" si="2"/>
        <v>0</v>
      </c>
      <c r="M40" s="40"/>
      <c r="N40" s="31">
        <f t="shared" si="5"/>
        <v>119.01</v>
      </c>
    </row>
    <row r="41" spans="2:14" x14ac:dyDescent="0.25">
      <c r="B41" s="20"/>
      <c r="C41" s="30" t="s">
        <v>37</v>
      </c>
      <c r="E41" s="21"/>
      <c r="F41" s="31"/>
      <c r="G41" s="32">
        <v>1500</v>
      </c>
      <c r="H41" s="41">
        <f t="shared" si="1"/>
        <v>0</v>
      </c>
      <c r="I41" s="40"/>
      <c r="J41" s="31"/>
      <c r="K41" s="95">
        <v>1500</v>
      </c>
      <c r="L41" s="41">
        <f t="shared" si="2"/>
        <v>0</v>
      </c>
      <c r="M41" s="40"/>
      <c r="N41" s="31">
        <f t="shared" si="5"/>
        <v>0</v>
      </c>
    </row>
    <row r="42" spans="2:14" x14ac:dyDescent="0.25">
      <c r="B42" s="20"/>
      <c r="C42" s="30" t="s">
        <v>38</v>
      </c>
      <c r="E42" s="21"/>
      <c r="F42" s="31">
        <v>237.9</v>
      </c>
      <c r="G42" s="32">
        <v>600</v>
      </c>
      <c r="H42" s="41">
        <f t="shared" si="1"/>
        <v>0.39650000000000002</v>
      </c>
      <c r="I42" s="40"/>
      <c r="J42" s="31">
        <v>198.23</v>
      </c>
      <c r="K42" s="95">
        <v>600</v>
      </c>
      <c r="L42" s="41">
        <f t="shared" si="2"/>
        <v>0.33038333333333331</v>
      </c>
      <c r="M42" s="40"/>
      <c r="N42" s="31">
        <f t="shared" si="5"/>
        <v>39.670000000000016</v>
      </c>
    </row>
    <row r="43" spans="2:14" x14ac:dyDescent="0.25">
      <c r="B43" s="20"/>
      <c r="C43" s="30" t="s">
        <v>39</v>
      </c>
      <c r="E43" s="21"/>
      <c r="F43" s="31"/>
      <c r="G43" s="32">
        <v>1500</v>
      </c>
      <c r="H43" s="41">
        <f t="shared" si="1"/>
        <v>0</v>
      </c>
      <c r="I43" s="40"/>
      <c r="J43" s="31">
        <v>74.44</v>
      </c>
      <c r="K43" s="95">
        <v>3000</v>
      </c>
      <c r="L43" s="41">
        <f t="shared" si="2"/>
        <v>2.4813333333333333E-2</v>
      </c>
      <c r="M43" s="40"/>
      <c r="N43" s="31">
        <f t="shared" si="5"/>
        <v>-74.44</v>
      </c>
    </row>
    <row r="44" spans="2:14" x14ac:dyDescent="0.25">
      <c r="B44" s="20"/>
      <c r="C44" s="30" t="s">
        <v>40</v>
      </c>
      <c r="E44" s="21"/>
      <c r="F44" s="31"/>
      <c r="G44" s="32">
        <v>1000</v>
      </c>
      <c r="H44" s="41">
        <f t="shared" si="1"/>
        <v>0</v>
      </c>
      <c r="I44" s="40"/>
      <c r="J44" s="31"/>
      <c r="K44" s="95">
        <v>1000</v>
      </c>
      <c r="L44" s="41">
        <f t="shared" si="2"/>
        <v>0</v>
      </c>
      <c r="M44" s="40"/>
      <c r="N44" s="31">
        <f t="shared" si="5"/>
        <v>0</v>
      </c>
    </row>
    <row r="45" spans="2:14" x14ac:dyDescent="0.25">
      <c r="B45" s="20"/>
      <c r="C45" s="30" t="s">
        <v>41</v>
      </c>
      <c r="E45" s="21"/>
      <c r="F45" s="31"/>
      <c r="G45" s="32">
        <v>1000</v>
      </c>
      <c r="H45" s="41">
        <f t="shared" si="1"/>
        <v>0</v>
      </c>
      <c r="I45" s="40"/>
      <c r="J45" s="31"/>
      <c r="K45" s="95">
        <v>1000</v>
      </c>
      <c r="L45" s="41">
        <f t="shared" si="2"/>
        <v>0</v>
      </c>
      <c r="M45" s="40"/>
      <c r="N45" s="31">
        <f t="shared" si="5"/>
        <v>0</v>
      </c>
    </row>
    <row r="46" spans="2:14" x14ac:dyDescent="0.25">
      <c r="B46" s="20"/>
      <c r="C46" s="30" t="s">
        <v>42</v>
      </c>
      <c r="E46" s="21"/>
      <c r="F46" s="31"/>
      <c r="G46" s="32">
        <v>1000</v>
      </c>
      <c r="H46" s="41">
        <f t="shared" si="1"/>
        <v>0</v>
      </c>
      <c r="I46" s="40"/>
      <c r="J46" s="31"/>
      <c r="K46" s="95">
        <v>1000</v>
      </c>
      <c r="L46" s="41">
        <f t="shared" si="2"/>
        <v>0</v>
      </c>
      <c r="M46" s="40"/>
      <c r="N46" s="31">
        <f t="shared" si="5"/>
        <v>0</v>
      </c>
    </row>
    <row r="47" spans="2:14" x14ac:dyDescent="0.25">
      <c r="B47" s="20"/>
      <c r="C47" s="30" t="s">
        <v>43</v>
      </c>
      <c r="E47" s="21"/>
      <c r="F47" s="31"/>
      <c r="G47" s="32">
        <v>10500</v>
      </c>
      <c r="H47" s="41">
        <f t="shared" si="1"/>
        <v>0</v>
      </c>
      <c r="I47" s="40"/>
      <c r="J47" s="31"/>
      <c r="K47" s="95">
        <v>10500</v>
      </c>
      <c r="L47" s="41">
        <f t="shared" si="2"/>
        <v>0</v>
      </c>
      <c r="M47" s="40"/>
      <c r="N47" s="32">
        <f>+F47-J47</f>
        <v>0</v>
      </c>
    </row>
    <row r="48" spans="2:14" x14ac:dyDescent="0.25">
      <c r="B48" s="20"/>
      <c r="C48" s="33" t="s">
        <v>44</v>
      </c>
      <c r="D48" s="34"/>
      <c r="E48" s="34"/>
      <c r="F48" s="42"/>
      <c r="G48" s="35">
        <v>0</v>
      </c>
      <c r="H48" s="43" t="e">
        <f t="shared" si="1"/>
        <v>#DIV/0!</v>
      </c>
      <c r="I48" s="40"/>
      <c r="J48" s="42"/>
      <c r="K48" s="100">
        <v>500</v>
      </c>
      <c r="L48" s="43">
        <f t="shared" si="2"/>
        <v>0</v>
      </c>
      <c r="M48" s="40"/>
      <c r="N48" s="35">
        <f>+F48-J48</f>
        <v>0</v>
      </c>
    </row>
    <row r="49" spans="2:16" x14ac:dyDescent="0.25">
      <c r="B49" s="20">
        <v>631</v>
      </c>
      <c r="C49" s="1" t="s">
        <v>45</v>
      </c>
      <c r="E49" s="48"/>
      <c r="F49" s="31"/>
      <c r="G49" s="32">
        <v>4500</v>
      </c>
      <c r="H49" s="41">
        <f t="shared" si="1"/>
        <v>0</v>
      </c>
      <c r="I49" s="40"/>
      <c r="J49" s="31">
        <v>16.16</v>
      </c>
      <c r="K49" s="95">
        <v>4500</v>
      </c>
      <c r="L49" s="41">
        <f t="shared" si="2"/>
        <v>3.5911111111111113E-3</v>
      </c>
      <c r="M49" s="40"/>
      <c r="N49" s="32">
        <f>+F49-J49</f>
        <v>-16.16</v>
      </c>
    </row>
    <row r="50" spans="2:16" x14ac:dyDescent="0.25">
      <c r="B50" s="20">
        <v>634</v>
      </c>
      <c r="C50" s="1" t="s">
        <v>46</v>
      </c>
      <c r="E50" s="48"/>
      <c r="F50" s="31">
        <v>1807.26</v>
      </c>
      <c r="G50" s="32">
        <v>10000</v>
      </c>
      <c r="H50" s="41">
        <f t="shared" si="1"/>
        <v>0.180726</v>
      </c>
      <c r="I50" s="40"/>
      <c r="J50" s="31">
        <v>2923.54</v>
      </c>
      <c r="K50" s="95">
        <v>12000</v>
      </c>
      <c r="L50" s="41">
        <f t="shared" si="2"/>
        <v>0.24362833333333334</v>
      </c>
      <c r="M50" s="40"/>
      <c r="N50" s="32">
        <f>+F50-J50</f>
        <v>-1116.28</v>
      </c>
    </row>
    <row r="51" spans="2:16" x14ac:dyDescent="0.25">
      <c r="B51" s="20">
        <v>640</v>
      </c>
      <c r="C51" s="1" t="s">
        <v>47</v>
      </c>
      <c r="E51" s="21"/>
      <c r="F51" s="31">
        <v>17833.7</v>
      </c>
      <c r="G51" s="32">
        <v>80000</v>
      </c>
      <c r="H51" s="41">
        <f t="shared" si="1"/>
        <v>0.22292125000000002</v>
      </c>
      <c r="I51" s="40"/>
      <c r="J51" s="31">
        <v>17650.72</v>
      </c>
      <c r="K51" s="95">
        <v>95000</v>
      </c>
      <c r="L51" s="41">
        <f t="shared" si="2"/>
        <v>0.18579705263157895</v>
      </c>
      <c r="M51" s="40"/>
      <c r="N51" s="32">
        <f t="shared" ref="N51:N64" si="6">+F51-J51</f>
        <v>182.97999999999956</v>
      </c>
    </row>
    <row r="52" spans="2:16" x14ac:dyDescent="0.25">
      <c r="B52" s="20">
        <v>641</v>
      </c>
      <c r="C52" s="1" t="s">
        <v>48</v>
      </c>
      <c r="E52" s="21"/>
      <c r="F52" s="31"/>
      <c r="G52" s="32">
        <v>0</v>
      </c>
      <c r="H52" s="41" t="e">
        <f t="shared" si="1"/>
        <v>#DIV/0!</v>
      </c>
      <c r="I52" s="40"/>
      <c r="J52" s="31"/>
      <c r="K52" s="95">
        <v>0</v>
      </c>
      <c r="L52" s="41" t="e">
        <f t="shared" si="2"/>
        <v>#DIV/0!</v>
      </c>
      <c r="M52" s="40"/>
      <c r="N52" s="32">
        <f t="shared" si="6"/>
        <v>0</v>
      </c>
    </row>
    <row r="53" spans="2:16" x14ac:dyDescent="0.25">
      <c r="B53" s="20">
        <v>642</v>
      </c>
      <c r="C53" s="1" t="s">
        <v>49</v>
      </c>
      <c r="E53" s="21"/>
      <c r="F53" s="31">
        <v>5105.87</v>
      </c>
      <c r="G53" s="32">
        <v>28000</v>
      </c>
      <c r="H53" s="41">
        <f t="shared" si="1"/>
        <v>0.1823525</v>
      </c>
      <c r="I53" s="40"/>
      <c r="J53" s="31">
        <v>5144.13</v>
      </c>
      <c r="K53" s="95">
        <v>33000</v>
      </c>
      <c r="L53" s="41">
        <f t="shared" si="2"/>
        <v>0.15588272727272728</v>
      </c>
      <c r="M53" s="40"/>
      <c r="N53" s="32">
        <f t="shared" si="6"/>
        <v>-38.260000000000218</v>
      </c>
    </row>
    <row r="54" spans="2:16" x14ac:dyDescent="0.25">
      <c r="B54" s="20">
        <v>650</v>
      </c>
      <c r="C54" s="1" t="s">
        <v>50</v>
      </c>
      <c r="E54" s="21"/>
      <c r="F54" s="31">
        <v>0</v>
      </c>
      <c r="G54" s="32">
        <v>8000</v>
      </c>
      <c r="H54" s="41">
        <f t="shared" si="1"/>
        <v>0</v>
      </c>
      <c r="I54" s="40"/>
      <c r="J54" s="31"/>
      <c r="K54" s="95">
        <v>8000</v>
      </c>
      <c r="L54" s="41">
        <f t="shared" si="2"/>
        <v>0</v>
      </c>
      <c r="M54" s="40"/>
      <c r="N54" s="32">
        <f t="shared" si="6"/>
        <v>0</v>
      </c>
    </row>
    <row r="55" spans="2:16" x14ac:dyDescent="0.25">
      <c r="B55" s="20">
        <v>650</v>
      </c>
      <c r="C55" s="1" t="s">
        <v>51</v>
      </c>
      <c r="E55" s="21"/>
      <c r="F55" s="31">
        <v>0</v>
      </c>
      <c r="G55" s="32">
        <v>1000</v>
      </c>
      <c r="H55" s="41">
        <f t="shared" si="1"/>
        <v>0</v>
      </c>
      <c r="I55" s="40"/>
      <c r="J55" s="31"/>
      <c r="K55" s="95">
        <v>500</v>
      </c>
      <c r="L55" s="41">
        <f t="shared" si="2"/>
        <v>0</v>
      </c>
      <c r="M55" s="40"/>
      <c r="N55" s="32">
        <f t="shared" si="6"/>
        <v>0</v>
      </c>
    </row>
    <row r="56" spans="2:16" x14ac:dyDescent="0.25">
      <c r="B56" s="20">
        <v>650</v>
      </c>
      <c r="C56" s="1" t="s">
        <v>52</v>
      </c>
      <c r="E56" s="21"/>
      <c r="F56" s="31">
        <v>0</v>
      </c>
      <c r="G56" s="32">
        <v>500</v>
      </c>
      <c r="H56" s="41">
        <f t="shared" si="1"/>
        <v>0</v>
      </c>
      <c r="I56" s="40"/>
      <c r="J56" s="31"/>
      <c r="K56" s="95">
        <v>500</v>
      </c>
      <c r="L56" s="41">
        <f t="shared" si="2"/>
        <v>0</v>
      </c>
      <c r="M56" s="40"/>
      <c r="N56" s="32">
        <f t="shared" si="6"/>
        <v>0</v>
      </c>
    </row>
    <row r="57" spans="2:16" x14ac:dyDescent="0.25">
      <c r="B57" s="20">
        <v>655</v>
      </c>
      <c r="C57" s="1" t="s">
        <v>53</v>
      </c>
      <c r="E57" s="21"/>
      <c r="F57" s="31">
        <v>0</v>
      </c>
      <c r="G57" s="32">
        <v>500</v>
      </c>
      <c r="H57" s="41">
        <f t="shared" si="1"/>
        <v>0</v>
      </c>
      <c r="I57" s="40"/>
      <c r="J57" s="31"/>
      <c r="K57" s="95">
        <v>1000</v>
      </c>
      <c r="L57" s="41">
        <f t="shared" si="2"/>
        <v>0</v>
      </c>
      <c r="M57" s="40"/>
      <c r="N57" s="32">
        <f t="shared" si="6"/>
        <v>0</v>
      </c>
    </row>
    <row r="58" spans="2:16" x14ac:dyDescent="0.25">
      <c r="B58" s="20">
        <v>663</v>
      </c>
      <c r="C58" s="1" t="s">
        <v>54</v>
      </c>
      <c r="E58" s="21"/>
      <c r="F58" s="31">
        <v>4.49</v>
      </c>
      <c r="G58" s="32">
        <v>0</v>
      </c>
      <c r="H58" s="41" t="e">
        <f t="shared" si="1"/>
        <v>#DIV/0!</v>
      </c>
      <c r="I58" s="40"/>
      <c r="J58" s="31">
        <v>1160.4000000000001</v>
      </c>
      <c r="K58" s="95">
        <v>0</v>
      </c>
      <c r="L58" s="41" t="e">
        <f t="shared" si="2"/>
        <v>#DIV/0!</v>
      </c>
      <c r="M58" s="40"/>
      <c r="N58" s="32">
        <f t="shared" si="6"/>
        <v>-1155.9100000000001</v>
      </c>
    </row>
    <row r="59" spans="2:16" x14ac:dyDescent="0.25">
      <c r="B59" s="20">
        <v>663</v>
      </c>
      <c r="C59" s="1" t="s">
        <v>55</v>
      </c>
      <c r="E59" s="21"/>
      <c r="F59" s="49">
        <v>10278.59</v>
      </c>
      <c r="G59" s="32">
        <v>0</v>
      </c>
      <c r="H59" s="41" t="e">
        <f t="shared" si="1"/>
        <v>#DIV/0!</v>
      </c>
      <c r="I59" s="40"/>
      <c r="J59" s="49">
        <v>362261.64</v>
      </c>
      <c r="K59" s="95">
        <v>0</v>
      </c>
      <c r="L59" s="41" t="e">
        <f t="shared" si="2"/>
        <v>#DIV/0!</v>
      </c>
      <c r="M59" s="40"/>
      <c r="N59" s="32">
        <f t="shared" si="6"/>
        <v>-351983.05</v>
      </c>
      <c r="O59" s="50" t="s">
        <v>56</v>
      </c>
      <c r="P59" s="50"/>
    </row>
    <row r="60" spans="2:16" x14ac:dyDescent="0.25">
      <c r="B60" s="20">
        <v>669</v>
      </c>
      <c r="C60" s="1" t="s">
        <v>57</v>
      </c>
      <c r="E60" s="21"/>
      <c r="F60" s="31">
        <v>401.78</v>
      </c>
      <c r="G60" s="32">
        <v>1000</v>
      </c>
      <c r="H60" s="41">
        <f>+F60/G60</f>
        <v>0.40177999999999997</v>
      </c>
      <c r="I60" s="40"/>
      <c r="J60" s="31">
        <v>200.66</v>
      </c>
      <c r="K60" s="95">
        <v>150</v>
      </c>
      <c r="L60" s="41">
        <f>+J60/K60</f>
        <v>1.3377333333333332</v>
      </c>
      <c r="M60" s="40"/>
      <c r="N60" s="32">
        <f t="shared" si="6"/>
        <v>201.11999999999998</v>
      </c>
    </row>
    <row r="61" spans="2:16" x14ac:dyDescent="0.25">
      <c r="B61" s="20">
        <v>678</v>
      </c>
      <c r="C61" s="1" t="s">
        <v>58</v>
      </c>
      <c r="E61" s="21"/>
      <c r="F61" s="31"/>
      <c r="G61" s="32">
        <v>0</v>
      </c>
      <c r="H61" s="41" t="e">
        <f>+F61/G61</f>
        <v>#DIV/0!</v>
      </c>
      <c r="I61" s="40"/>
      <c r="J61" s="31">
        <v>1082.8699999999999</v>
      </c>
      <c r="K61" s="95">
        <v>0</v>
      </c>
      <c r="L61" s="41" t="e">
        <f>+J61/K61</f>
        <v>#DIV/0!</v>
      </c>
      <c r="M61" s="40"/>
      <c r="N61" s="32">
        <f t="shared" si="6"/>
        <v>-1082.8699999999999</v>
      </c>
    </row>
    <row r="62" spans="2:16" x14ac:dyDescent="0.25">
      <c r="B62" s="20">
        <v>680</v>
      </c>
      <c r="C62" s="1" t="s">
        <v>59</v>
      </c>
      <c r="E62" s="21"/>
      <c r="F62" s="31">
        <f>250*3</f>
        <v>750</v>
      </c>
      <c r="G62" s="31">
        <v>3000</v>
      </c>
      <c r="H62" s="51">
        <f>+F62/G62</f>
        <v>0.25</v>
      </c>
      <c r="I62" s="40"/>
      <c r="J62" s="31">
        <v>750</v>
      </c>
      <c r="K62" s="103">
        <v>3000</v>
      </c>
      <c r="L62" s="51">
        <f>+J62/K62</f>
        <v>0.25</v>
      </c>
      <c r="M62" s="40"/>
      <c r="N62" s="32">
        <f t="shared" si="6"/>
        <v>0</v>
      </c>
      <c r="O62" s="52"/>
    </row>
    <row r="63" spans="2:16" x14ac:dyDescent="0.25">
      <c r="B63" s="20">
        <v>681</v>
      </c>
      <c r="C63" s="1" t="s">
        <v>60</v>
      </c>
      <c r="E63" s="21"/>
      <c r="F63" s="31">
        <f>1083.33*3</f>
        <v>3249.99</v>
      </c>
      <c r="G63" s="31">
        <v>13000</v>
      </c>
      <c r="H63" s="51">
        <f>+F63/G63</f>
        <v>0.24999923076923075</v>
      </c>
      <c r="I63" s="40"/>
      <c r="J63" s="31">
        <v>3250</v>
      </c>
      <c r="K63" s="103">
        <v>13000</v>
      </c>
      <c r="L63" s="51">
        <f>+J63/K63</f>
        <v>0.25</v>
      </c>
      <c r="M63" s="40"/>
      <c r="N63" s="32">
        <f t="shared" si="6"/>
        <v>-1.0000000000218279E-2</v>
      </c>
      <c r="O63" s="52"/>
    </row>
    <row r="64" spans="2:16" x14ac:dyDescent="0.25">
      <c r="B64" s="20">
        <v>690</v>
      </c>
      <c r="C64" s="1" t="s">
        <v>61</v>
      </c>
      <c r="E64" s="21"/>
      <c r="F64" s="31">
        <f>666.67*3</f>
        <v>2000.0099999999998</v>
      </c>
      <c r="G64" s="31">
        <v>8000</v>
      </c>
      <c r="H64" s="51">
        <f>+F64/G64</f>
        <v>0.25000124999999995</v>
      </c>
      <c r="I64" s="40"/>
      <c r="J64" s="31">
        <v>2000</v>
      </c>
      <c r="K64" s="103">
        <v>8000</v>
      </c>
      <c r="L64" s="51">
        <f>+J64/K64</f>
        <v>0.25</v>
      </c>
      <c r="M64" s="40"/>
      <c r="N64" s="32">
        <f t="shared" si="6"/>
        <v>9.9999999997635314E-3</v>
      </c>
      <c r="O64" s="52"/>
    </row>
    <row r="65" spans="1:14" x14ac:dyDescent="0.25">
      <c r="B65" s="53"/>
      <c r="C65" s="34"/>
      <c r="D65" s="34"/>
      <c r="E65" s="21"/>
      <c r="F65" s="32"/>
      <c r="G65" s="35"/>
      <c r="H65" s="41"/>
      <c r="I65" s="40"/>
      <c r="J65" s="32"/>
      <c r="K65" s="100"/>
      <c r="L65" s="41"/>
      <c r="M65" s="40"/>
      <c r="N65" s="35"/>
    </row>
    <row r="66" spans="1:14" ht="15.75" thickBot="1" x14ac:dyDescent="0.3">
      <c r="B66" s="54"/>
      <c r="C66" s="55"/>
      <c r="D66" s="55"/>
      <c r="E66" s="56" t="s">
        <v>62</v>
      </c>
      <c r="F66" s="57">
        <f>SUM(F7:F64)-F8-F14-F22-F29</f>
        <v>63242.37</v>
      </c>
      <c r="G66" s="57">
        <f>G7+G8+G14+G22+G26+G27+G28+G29+G49+G50+G51+G53+G54+G55+G56+G57+G60+G62+G63+G64+G52</f>
        <v>342400</v>
      </c>
      <c r="H66" s="58">
        <f>+F66/G66</f>
        <v>0.18470318341121497</v>
      </c>
      <c r="I66" s="19"/>
      <c r="J66" s="57">
        <f>SUM(J7:J64)-J22-J29-J14</f>
        <v>428327.33999999997</v>
      </c>
      <c r="K66" s="104">
        <f>SUM(K7:K64)-K22-K29-K14</f>
        <v>384500</v>
      </c>
      <c r="L66" s="58">
        <f>+J66/K66</f>
        <v>1.1139852795838752</v>
      </c>
      <c r="M66" s="19"/>
      <c r="N66" s="57">
        <f>+F66-J66</f>
        <v>-365084.97</v>
      </c>
    </row>
    <row r="67" spans="1:14" x14ac:dyDescent="0.25">
      <c r="F67" s="59"/>
      <c r="G67" s="21"/>
      <c r="H67" s="60"/>
      <c r="I67" s="61"/>
      <c r="L67" s="60"/>
      <c r="M67" s="61"/>
    </row>
    <row r="68" spans="1:14" ht="15.75" thickBot="1" x14ac:dyDescent="0.3">
      <c r="F68" s="59"/>
      <c r="G68" s="21"/>
      <c r="H68" s="60"/>
      <c r="I68" s="61"/>
      <c r="L68" s="60"/>
      <c r="M68" s="61"/>
    </row>
    <row r="69" spans="1:14" ht="15.75" thickBot="1" x14ac:dyDescent="0.3">
      <c r="F69" s="62">
        <v>44286</v>
      </c>
      <c r="G69" s="9" t="s">
        <v>93</v>
      </c>
      <c r="H69" s="10" t="s">
        <v>0</v>
      </c>
      <c r="I69" s="11"/>
      <c r="J69" s="62">
        <v>43921</v>
      </c>
      <c r="K69" s="9" t="s">
        <v>2</v>
      </c>
      <c r="L69" s="10" t="s">
        <v>0</v>
      </c>
      <c r="M69" s="11"/>
      <c r="N69" s="9" t="s">
        <v>3</v>
      </c>
    </row>
    <row r="70" spans="1:14" x14ac:dyDescent="0.25">
      <c r="B70" s="63">
        <v>705</v>
      </c>
      <c r="C70" s="64" t="s">
        <v>63</v>
      </c>
      <c r="D70" s="65"/>
      <c r="E70" s="66"/>
      <c r="F70" s="67">
        <v>31545</v>
      </c>
      <c r="G70" s="67">
        <v>132000</v>
      </c>
      <c r="H70" s="68">
        <f>+F70/G70</f>
        <v>0.23897727272727273</v>
      </c>
      <c r="I70" s="19"/>
      <c r="J70" s="67">
        <v>31910</v>
      </c>
      <c r="K70" s="67">
        <v>132000</v>
      </c>
      <c r="L70" s="68">
        <f>+J70/K70</f>
        <v>0.24174242424242423</v>
      </c>
      <c r="M70" s="19"/>
      <c r="N70" s="67">
        <f>+F70-J70</f>
        <v>-365</v>
      </c>
    </row>
    <row r="71" spans="1:14" x14ac:dyDescent="0.25">
      <c r="B71" s="69">
        <v>705</v>
      </c>
      <c r="C71" s="48" t="s">
        <v>95</v>
      </c>
      <c r="D71" s="21"/>
      <c r="E71" s="70"/>
      <c r="F71" s="23">
        <v>100</v>
      </c>
      <c r="G71" s="23">
        <v>0</v>
      </c>
      <c r="H71" s="46" t="e">
        <f>+F71/G71</f>
        <v>#DIV/0!</v>
      </c>
      <c r="I71" s="19"/>
      <c r="J71" s="23"/>
      <c r="K71" s="23">
        <v>0</v>
      </c>
      <c r="L71" s="46" t="e">
        <f>+J71/K71</f>
        <v>#DIV/0!</v>
      </c>
      <c r="M71" s="19"/>
      <c r="N71" s="23">
        <f>+F71-J71</f>
        <v>100</v>
      </c>
    </row>
    <row r="72" spans="1:14" x14ac:dyDescent="0.25">
      <c r="B72" s="69">
        <v>705</v>
      </c>
      <c r="C72" s="48" t="s">
        <v>64</v>
      </c>
      <c r="D72" s="21"/>
      <c r="E72" s="70"/>
      <c r="F72" s="22">
        <v>56456.27</v>
      </c>
      <c r="G72" s="23">
        <v>169900</v>
      </c>
      <c r="H72" s="46">
        <f>+F72/G72</f>
        <v>0.33229117127722185</v>
      </c>
      <c r="I72" s="19"/>
      <c r="J72" s="23">
        <v>42745.760000000002</v>
      </c>
      <c r="K72" s="23">
        <v>145000</v>
      </c>
      <c r="L72" s="46">
        <f>+J72/K72</f>
        <v>0.29479834482758621</v>
      </c>
      <c r="M72" s="19"/>
      <c r="N72" s="23">
        <f t="shared" ref="N72:N76" si="7">+F72-J72</f>
        <v>13710.509999999995</v>
      </c>
    </row>
    <row r="73" spans="1:14" x14ac:dyDescent="0.25">
      <c r="A73" s="6"/>
      <c r="B73" s="69">
        <v>705</v>
      </c>
      <c r="C73" s="48" t="s">
        <v>18</v>
      </c>
      <c r="D73" s="21"/>
      <c r="E73" s="70"/>
      <c r="F73" s="23"/>
      <c r="G73" s="23">
        <v>0</v>
      </c>
      <c r="H73" s="46" t="e">
        <f t="shared" ref="H73:H77" si="8">+F73/G73</f>
        <v>#DIV/0!</v>
      </c>
      <c r="I73" s="19"/>
      <c r="J73" s="22">
        <v>8700</v>
      </c>
      <c r="K73" s="23">
        <v>0</v>
      </c>
      <c r="L73" s="46" t="e">
        <f t="shared" ref="L73:L77" si="9">+J73/K73</f>
        <v>#DIV/0!</v>
      </c>
      <c r="M73" s="19"/>
      <c r="N73" s="23">
        <f t="shared" si="7"/>
        <v>-8700</v>
      </c>
    </row>
    <row r="74" spans="1:14" x14ac:dyDescent="0.25">
      <c r="B74" s="69">
        <v>705</v>
      </c>
      <c r="C74" s="48" t="s">
        <v>65</v>
      </c>
      <c r="D74" s="21"/>
      <c r="E74" s="70"/>
      <c r="F74" s="23"/>
      <c r="G74" s="23">
        <v>0</v>
      </c>
      <c r="H74" s="46" t="e">
        <f t="shared" si="8"/>
        <v>#DIV/0!</v>
      </c>
      <c r="I74" s="19"/>
      <c r="J74" s="23"/>
      <c r="K74" s="23">
        <v>0</v>
      </c>
      <c r="L74" s="46" t="e">
        <f t="shared" si="9"/>
        <v>#DIV/0!</v>
      </c>
      <c r="M74" s="19"/>
      <c r="N74" s="23">
        <f t="shared" si="7"/>
        <v>0</v>
      </c>
    </row>
    <row r="75" spans="1:14" x14ac:dyDescent="0.25">
      <c r="B75" s="69">
        <v>740</v>
      </c>
      <c r="C75" s="48" t="s">
        <v>66</v>
      </c>
      <c r="D75" s="21"/>
      <c r="E75" s="70"/>
      <c r="F75" s="23"/>
      <c r="G75" s="23">
        <v>0</v>
      </c>
      <c r="H75" s="46" t="e">
        <f t="shared" si="8"/>
        <v>#DIV/0!</v>
      </c>
      <c r="I75" s="19"/>
      <c r="J75" s="23"/>
      <c r="K75" s="23">
        <v>0</v>
      </c>
      <c r="L75" s="46" t="e">
        <f t="shared" si="9"/>
        <v>#DIV/0!</v>
      </c>
      <c r="M75" s="19"/>
      <c r="N75" s="23">
        <f t="shared" si="7"/>
        <v>0</v>
      </c>
    </row>
    <row r="76" spans="1:14" x14ac:dyDescent="0.25">
      <c r="B76" s="69">
        <v>752</v>
      </c>
      <c r="C76" s="48" t="s">
        <v>67</v>
      </c>
      <c r="D76" s="21"/>
      <c r="E76" s="70"/>
      <c r="F76" s="23"/>
      <c r="G76" s="23">
        <v>0</v>
      </c>
      <c r="H76" s="46" t="e">
        <f t="shared" si="8"/>
        <v>#DIV/0!</v>
      </c>
      <c r="I76" s="19"/>
      <c r="J76" s="23">
        <v>375</v>
      </c>
      <c r="K76" s="23">
        <v>3000</v>
      </c>
      <c r="L76" s="46">
        <f t="shared" si="9"/>
        <v>0.125</v>
      </c>
      <c r="M76" s="19"/>
      <c r="N76" s="23">
        <f t="shared" si="7"/>
        <v>-375</v>
      </c>
    </row>
    <row r="77" spans="1:14" x14ac:dyDescent="0.25">
      <c r="B77" s="69">
        <v>759</v>
      </c>
      <c r="C77" s="48" t="s">
        <v>68</v>
      </c>
      <c r="D77" s="21"/>
      <c r="E77" s="70"/>
      <c r="F77" s="23">
        <f>+F78+F79+F80+F81+F82+F83</f>
        <v>2260</v>
      </c>
      <c r="G77" s="23">
        <f>SUM(G78:G83)</f>
        <v>40500</v>
      </c>
      <c r="H77" s="46">
        <f t="shared" si="8"/>
        <v>5.5802469135802467E-2</v>
      </c>
      <c r="I77" s="19"/>
      <c r="J77" s="23">
        <f>SUM(J78:J83)</f>
        <v>4174</v>
      </c>
      <c r="K77" s="23">
        <v>40500</v>
      </c>
      <c r="L77" s="46">
        <f t="shared" si="9"/>
        <v>0.10306172839506172</v>
      </c>
      <c r="M77" s="19"/>
      <c r="N77" s="23">
        <f>+F77-J77</f>
        <v>-1914</v>
      </c>
    </row>
    <row r="78" spans="1:14" x14ac:dyDescent="0.25">
      <c r="B78" s="69"/>
      <c r="C78" s="25" t="s">
        <v>69</v>
      </c>
      <c r="D78" s="15"/>
      <c r="E78" s="71"/>
      <c r="F78" s="27"/>
      <c r="G78" s="27">
        <v>20000</v>
      </c>
      <c r="H78" s="39">
        <f>+F78/G78</f>
        <v>0</v>
      </c>
      <c r="I78" s="40"/>
      <c r="J78" s="27"/>
      <c r="K78" s="27">
        <v>20000</v>
      </c>
      <c r="L78" s="39">
        <f>+J78/K78</f>
        <v>0</v>
      </c>
      <c r="M78" s="40"/>
      <c r="N78" s="27">
        <f>+F78-J78</f>
        <v>0</v>
      </c>
    </row>
    <row r="79" spans="1:14" x14ac:dyDescent="0.25">
      <c r="B79" s="69"/>
      <c r="C79" s="30" t="s">
        <v>70</v>
      </c>
      <c r="D79" s="21"/>
      <c r="E79" s="70"/>
      <c r="F79" s="32"/>
      <c r="G79" s="32">
        <v>10000</v>
      </c>
      <c r="H79" s="41">
        <f>+F79/G79</f>
        <v>0</v>
      </c>
      <c r="I79" s="40"/>
      <c r="J79" s="32"/>
      <c r="K79" s="32">
        <v>10000</v>
      </c>
      <c r="L79" s="41">
        <f>+J79/K79</f>
        <v>0</v>
      </c>
      <c r="M79" s="40"/>
      <c r="N79" s="32">
        <f>+F79-J79</f>
        <v>0</v>
      </c>
    </row>
    <row r="80" spans="1:14" x14ac:dyDescent="0.25">
      <c r="B80" s="69"/>
      <c r="C80" s="30" t="s">
        <v>71</v>
      </c>
      <c r="D80" s="21"/>
      <c r="E80" s="70"/>
      <c r="F80" s="32">
        <v>2260</v>
      </c>
      <c r="G80" s="32">
        <v>10000</v>
      </c>
      <c r="H80" s="41">
        <f>+F80/G80</f>
        <v>0.22600000000000001</v>
      </c>
      <c r="I80" s="40"/>
      <c r="J80" s="32">
        <v>4120</v>
      </c>
      <c r="K80" s="32">
        <v>10000</v>
      </c>
      <c r="L80" s="41">
        <f>+J80/K80</f>
        <v>0.41199999999999998</v>
      </c>
      <c r="M80" s="40"/>
      <c r="N80" s="32">
        <f t="shared" ref="N80:N82" si="10">+F80-J80</f>
        <v>-1860</v>
      </c>
    </row>
    <row r="81" spans="2:16" x14ac:dyDescent="0.25">
      <c r="B81" s="69"/>
      <c r="C81" s="30" t="s">
        <v>72</v>
      </c>
      <c r="D81" s="21"/>
      <c r="E81" s="70"/>
      <c r="F81" s="32"/>
      <c r="G81" s="32">
        <v>500</v>
      </c>
      <c r="H81" s="41"/>
      <c r="I81" s="40"/>
      <c r="J81" s="32"/>
      <c r="K81" s="32">
        <v>500</v>
      </c>
      <c r="L81" s="41"/>
      <c r="M81" s="40"/>
      <c r="N81" s="32">
        <f t="shared" si="10"/>
        <v>0</v>
      </c>
    </row>
    <row r="82" spans="2:16" x14ac:dyDescent="0.25">
      <c r="B82" s="69"/>
      <c r="C82" s="30" t="s">
        <v>73</v>
      </c>
      <c r="D82" s="21"/>
      <c r="E82" s="70"/>
      <c r="F82" s="32"/>
      <c r="G82" s="32">
        <v>0</v>
      </c>
      <c r="H82" s="41"/>
      <c r="I82" s="40"/>
      <c r="J82" s="31">
        <v>54</v>
      </c>
      <c r="K82" s="32">
        <v>0</v>
      </c>
      <c r="L82" s="41"/>
      <c r="M82" s="40"/>
      <c r="N82" s="32">
        <f t="shared" si="10"/>
        <v>-54</v>
      </c>
    </row>
    <row r="83" spans="2:16" x14ac:dyDescent="0.25">
      <c r="B83" s="69"/>
      <c r="C83" s="33" t="s">
        <v>74</v>
      </c>
      <c r="D83" s="34"/>
      <c r="E83" s="72"/>
      <c r="F83" s="35"/>
      <c r="G83" s="35">
        <v>0</v>
      </c>
      <c r="H83" s="43" t="e">
        <f>+F83/G83</f>
        <v>#DIV/0!</v>
      </c>
      <c r="I83" s="40"/>
      <c r="J83" s="35"/>
      <c r="K83" s="35">
        <v>0</v>
      </c>
      <c r="L83" s="43" t="e">
        <f>+J83/K83</f>
        <v>#DIV/0!</v>
      </c>
      <c r="M83" s="40"/>
      <c r="N83" s="35">
        <f>+F83-J83</f>
        <v>0</v>
      </c>
    </row>
    <row r="84" spans="2:16" x14ac:dyDescent="0.25">
      <c r="B84" s="69">
        <v>762</v>
      </c>
      <c r="C84" s="48" t="s">
        <v>75</v>
      </c>
      <c r="D84" s="21"/>
      <c r="E84" s="70"/>
      <c r="F84" s="22"/>
      <c r="G84" s="23">
        <v>0</v>
      </c>
      <c r="H84" s="46" t="e">
        <f>+F84/G84</f>
        <v>#DIV/0!</v>
      </c>
      <c r="I84" s="19"/>
      <c r="J84" s="23"/>
      <c r="K84" s="23">
        <v>1000</v>
      </c>
      <c r="L84" s="46">
        <f>+J84/K84</f>
        <v>0</v>
      </c>
      <c r="M84" s="19"/>
      <c r="N84" s="23">
        <f>+F84-J84</f>
        <v>0</v>
      </c>
    </row>
    <row r="85" spans="2:16" x14ac:dyDescent="0.25">
      <c r="B85" s="69">
        <v>763</v>
      </c>
      <c r="C85" s="48" t="s">
        <v>76</v>
      </c>
      <c r="D85" s="21"/>
      <c r="E85" s="70"/>
      <c r="F85" s="73">
        <v>67792.34</v>
      </c>
      <c r="G85" s="23">
        <v>0</v>
      </c>
      <c r="H85" s="46"/>
      <c r="I85" s="19"/>
      <c r="J85" s="73">
        <v>0</v>
      </c>
      <c r="K85" s="23">
        <v>63500</v>
      </c>
      <c r="L85" s="46"/>
      <c r="M85" s="19"/>
      <c r="N85" s="22">
        <f>+F85-J85</f>
        <v>67792.34</v>
      </c>
      <c r="O85" s="50" t="s">
        <v>77</v>
      </c>
      <c r="P85" s="50"/>
    </row>
    <row r="86" spans="2:16" x14ac:dyDescent="0.25">
      <c r="B86" s="69">
        <v>763</v>
      </c>
      <c r="C86" s="48" t="s">
        <v>78</v>
      </c>
      <c r="D86" s="21"/>
      <c r="E86" s="70"/>
      <c r="F86" s="22"/>
      <c r="G86" s="23">
        <v>0</v>
      </c>
      <c r="H86" s="46"/>
      <c r="I86" s="19"/>
      <c r="J86" s="23">
        <v>216.48</v>
      </c>
      <c r="K86" s="23">
        <v>0</v>
      </c>
      <c r="L86" s="46"/>
      <c r="M86" s="19"/>
      <c r="N86" s="22">
        <f t="shared" ref="N86:N89" si="11">+F86-J86</f>
        <v>-216.48</v>
      </c>
    </row>
    <row r="87" spans="2:16" x14ac:dyDescent="0.25">
      <c r="B87" s="69">
        <v>769</v>
      </c>
      <c r="C87" s="48" t="s">
        <v>79</v>
      </c>
      <c r="D87" s="21"/>
      <c r="E87" s="70"/>
      <c r="F87" s="22"/>
      <c r="G87" s="23">
        <v>0</v>
      </c>
      <c r="H87" s="46"/>
      <c r="I87" s="19"/>
      <c r="J87" s="23"/>
      <c r="K87" s="23">
        <v>0</v>
      </c>
      <c r="L87" s="46"/>
      <c r="M87" s="19"/>
      <c r="N87" s="22">
        <f t="shared" si="11"/>
        <v>0</v>
      </c>
    </row>
    <row r="88" spans="2:16" x14ac:dyDescent="0.25">
      <c r="B88" s="69">
        <v>778</v>
      </c>
      <c r="C88" s="48" t="s">
        <v>80</v>
      </c>
      <c r="D88" s="21"/>
      <c r="E88" s="70"/>
      <c r="F88" s="22"/>
      <c r="G88" s="22">
        <v>0</v>
      </c>
      <c r="H88" s="46"/>
      <c r="I88" s="19"/>
      <c r="J88" s="23">
        <v>1980.5</v>
      </c>
      <c r="K88" s="23">
        <v>0</v>
      </c>
      <c r="L88" s="46"/>
      <c r="M88" s="19"/>
      <c r="N88" s="22">
        <f t="shared" si="11"/>
        <v>-1980.5</v>
      </c>
    </row>
    <row r="89" spans="2:16" x14ac:dyDescent="0.25">
      <c r="B89" s="69">
        <v>794</v>
      </c>
      <c r="C89" s="48" t="s">
        <v>81</v>
      </c>
      <c r="D89" s="21"/>
      <c r="E89" s="70"/>
      <c r="F89" s="22"/>
      <c r="G89" s="22">
        <v>0</v>
      </c>
      <c r="H89" s="46" t="e">
        <f>+F89/G89</f>
        <v>#DIV/0!</v>
      </c>
      <c r="I89" s="19"/>
      <c r="J89" s="23"/>
      <c r="K89" s="23">
        <v>0</v>
      </c>
      <c r="L89" s="46" t="e">
        <f>+J89/K89</f>
        <v>#DIV/0!</v>
      </c>
      <c r="M89" s="19"/>
      <c r="N89" s="22">
        <f t="shared" si="11"/>
        <v>0</v>
      </c>
    </row>
    <row r="90" spans="2:16" x14ac:dyDescent="0.25">
      <c r="B90" s="69"/>
      <c r="C90" s="21"/>
      <c r="D90" s="21"/>
      <c r="E90" s="70"/>
      <c r="F90" s="35"/>
      <c r="G90" s="74"/>
      <c r="H90" s="24"/>
      <c r="I90" s="19"/>
      <c r="J90" s="23"/>
      <c r="K90" s="23"/>
      <c r="L90" s="24"/>
      <c r="M90" s="19"/>
      <c r="N90" s="23">
        <f>+F90-J90</f>
        <v>0</v>
      </c>
    </row>
    <row r="91" spans="2:16" ht="15.75" thickBot="1" x14ac:dyDescent="0.3">
      <c r="B91" s="75"/>
      <c r="C91" s="76"/>
      <c r="D91" s="76"/>
      <c r="E91" s="77" t="s">
        <v>82</v>
      </c>
      <c r="F91" s="57">
        <f>F70+F72+F73+F77+F84+F87+F89+F86+F85+F74+F88+F75+F76+F71</f>
        <v>158153.60999999999</v>
      </c>
      <c r="G91" s="57">
        <f>G70+G72+G73+G77+G84+G87+G89+G86+G85+G74+G88+G75+G76+G71</f>
        <v>342400</v>
      </c>
      <c r="H91" s="58">
        <f>+F91/G91</f>
        <v>0.46189722546728967</v>
      </c>
      <c r="I91" s="19"/>
      <c r="J91" s="57">
        <f>SUM(J70:J90)-J77</f>
        <v>90101.74</v>
      </c>
      <c r="K91" s="57">
        <f>SUM(K70:K90)-K77</f>
        <v>385000</v>
      </c>
      <c r="L91" s="58">
        <f>+J91/K91</f>
        <v>0.23403049350649352</v>
      </c>
      <c r="M91" s="19"/>
      <c r="N91" s="57">
        <f>+F91-J91</f>
        <v>68051.869999999981</v>
      </c>
    </row>
    <row r="92" spans="2:16" ht="15.75" thickBot="1" x14ac:dyDescent="0.3">
      <c r="F92" s="78"/>
      <c r="G92" s="78"/>
      <c r="H92" s="78"/>
      <c r="I92" s="29"/>
      <c r="J92" s="78"/>
      <c r="K92" s="78"/>
      <c r="L92" s="78"/>
      <c r="M92" s="29"/>
      <c r="N92" s="78">
        <f>J92-K92</f>
        <v>0</v>
      </c>
    </row>
    <row r="93" spans="2:16" ht="15.75" thickBot="1" x14ac:dyDescent="0.3">
      <c r="E93" s="79" t="s">
        <v>83</v>
      </c>
      <c r="F93" s="80">
        <f>+F91-F66</f>
        <v>94911.239999999991</v>
      </c>
      <c r="G93" s="80">
        <f>+G91-G66</f>
        <v>0</v>
      </c>
      <c r="H93" s="78"/>
      <c r="I93" s="29"/>
      <c r="J93" s="80">
        <f>+J91-J66</f>
        <v>-338225.6</v>
      </c>
      <c r="K93" s="80">
        <f>+K91-K66</f>
        <v>500</v>
      </c>
      <c r="L93" s="81"/>
      <c r="M93" s="81"/>
      <c r="N93" s="80">
        <f>+F93-J93</f>
        <v>433136.83999999997</v>
      </c>
    </row>
    <row r="94" spans="2:16" x14ac:dyDescent="0.25">
      <c r="F94" s="78"/>
      <c r="G94" s="78"/>
      <c r="H94" s="78"/>
      <c r="I94" s="29"/>
      <c r="J94" s="78"/>
      <c r="K94" s="78"/>
      <c r="L94" s="78"/>
      <c r="M94" s="29"/>
      <c r="N94" s="82"/>
    </row>
    <row r="95" spans="2:16" x14ac:dyDescent="0.25">
      <c r="F95" s="78"/>
      <c r="G95" s="78"/>
      <c r="H95" s="78"/>
      <c r="I95" s="29"/>
      <c r="J95" s="78"/>
      <c r="K95" s="78"/>
      <c r="L95" s="78"/>
      <c r="M95" s="29"/>
      <c r="N95" s="82"/>
    </row>
    <row r="96" spans="2:16" ht="15.75" thickBot="1" x14ac:dyDescent="0.3">
      <c r="E96" s="83" t="s">
        <v>84</v>
      </c>
      <c r="F96" s="78"/>
      <c r="G96" s="78"/>
      <c r="H96" s="78"/>
      <c r="I96" s="29"/>
      <c r="J96" s="78"/>
      <c r="K96" s="78"/>
      <c r="L96" s="78"/>
      <c r="M96" s="29"/>
      <c r="N96" s="82"/>
    </row>
    <row r="97" spans="5:14" ht="15.75" thickBot="1" x14ac:dyDescent="0.3">
      <c r="F97" s="62" t="s">
        <v>92</v>
      </c>
      <c r="G97" s="7" t="s">
        <v>93</v>
      </c>
      <c r="H97" s="11"/>
      <c r="I97" s="11"/>
      <c r="J97" s="62" t="s">
        <v>1</v>
      </c>
      <c r="K97" s="7" t="s">
        <v>2</v>
      </c>
      <c r="L97" s="11"/>
      <c r="M97" s="11"/>
      <c r="N97" s="9" t="s">
        <v>3</v>
      </c>
    </row>
    <row r="98" spans="5:14" ht="15.75" thickBot="1" x14ac:dyDescent="0.3">
      <c r="E98" s="84" t="s">
        <v>85</v>
      </c>
      <c r="F98" s="85">
        <f>F87+F85+F84+F86-F17-F58-F59-F60</f>
        <v>56114.209999999992</v>
      </c>
      <c r="G98" s="86">
        <f>G84-G17-G60</f>
        <v>-7500</v>
      </c>
      <c r="H98" s="78"/>
      <c r="I98" s="29"/>
      <c r="J98" s="85">
        <f>J87+J85+J84+J86-J17-J58-J59-J60</f>
        <v>-364456.82</v>
      </c>
      <c r="K98" s="86">
        <v>57285</v>
      </c>
      <c r="L98" s="81"/>
      <c r="M98" s="81"/>
      <c r="N98" s="86">
        <f>+F98-J98</f>
        <v>420571.03</v>
      </c>
    </row>
    <row r="99" spans="5:14" ht="15.75" thickBot="1" x14ac:dyDescent="0.3">
      <c r="F99" s="88"/>
      <c r="G99" s="88"/>
      <c r="H99" s="78"/>
      <c r="I99" s="29"/>
      <c r="J99" s="88"/>
      <c r="K99" s="88"/>
      <c r="L99" s="29"/>
      <c r="M99" s="29"/>
      <c r="N99" s="88"/>
    </row>
    <row r="100" spans="5:14" ht="15.75" thickBot="1" x14ac:dyDescent="0.3">
      <c r="E100" s="84" t="s">
        <v>86</v>
      </c>
      <c r="F100" s="85">
        <f>+F93-F98-F102</f>
        <v>38797.03</v>
      </c>
      <c r="G100" s="87">
        <v>-54294.3</v>
      </c>
      <c r="H100" s="78"/>
      <c r="I100" s="29"/>
      <c r="J100" s="85">
        <f>+J93-J98-J102</f>
        <v>25333.590000000029</v>
      </c>
      <c r="K100" s="87">
        <v>-57285</v>
      </c>
      <c r="L100" s="89"/>
      <c r="M100" s="89"/>
      <c r="N100" s="85">
        <f>+F100-J100</f>
        <v>13463.43999999997</v>
      </c>
    </row>
    <row r="101" spans="5:14" ht="15.75" thickBot="1" x14ac:dyDescent="0.3">
      <c r="E101" s="1"/>
      <c r="F101" s="23"/>
      <c r="G101" s="28"/>
      <c r="H101" s="78"/>
      <c r="I101" s="29"/>
      <c r="J101" s="23"/>
      <c r="K101" s="28"/>
      <c r="L101" s="90"/>
      <c r="M101" s="29"/>
      <c r="N101" s="28"/>
    </row>
    <row r="102" spans="5:14" ht="15.75" thickBot="1" x14ac:dyDescent="0.3">
      <c r="E102" s="84" t="s">
        <v>87</v>
      </c>
      <c r="F102" s="85">
        <f>+F88-F61-F52</f>
        <v>0</v>
      </c>
      <c r="G102" s="85">
        <f>+G88-G52</f>
        <v>0</v>
      </c>
      <c r="H102" s="78"/>
      <c r="I102" s="29"/>
      <c r="J102" s="85">
        <f>+J88-J61-J52</f>
        <v>897.63000000000011</v>
      </c>
      <c r="K102" s="85">
        <v>0</v>
      </c>
      <c r="L102" s="91"/>
      <c r="M102" s="81"/>
      <c r="N102" s="85">
        <f>+F102-J102</f>
        <v>-897.63000000000011</v>
      </c>
    </row>
    <row r="103" spans="5:14" ht="15.75" thickBot="1" x14ac:dyDescent="0.3">
      <c r="F103" s="28"/>
      <c r="G103" s="28"/>
      <c r="H103" s="78"/>
      <c r="I103" s="29"/>
      <c r="J103" s="28"/>
      <c r="K103" s="28"/>
      <c r="L103" s="90"/>
      <c r="M103" s="29"/>
      <c r="N103" s="28">
        <f>J103-K103</f>
        <v>0</v>
      </c>
    </row>
    <row r="104" spans="5:14" ht="15.75" thickBot="1" x14ac:dyDescent="0.3">
      <c r="E104" s="92" t="s">
        <v>83</v>
      </c>
      <c r="F104" s="80">
        <f>F91-F66</f>
        <v>94911.239999999991</v>
      </c>
      <c r="G104" s="80">
        <f>SUM(G98:G102)</f>
        <v>-61794.3</v>
      </c>
      <c r="H104" s="78"/>
      <c r="I104" s="29"/>
      <c r="J104" s="80">
        <f>J91-J66</f>
        <v>-338225.6</v>
      </c>
      <c r="K104" s="80">
        <f>+K98+K100+K102</f>
        <v>0</v>
      </c>
      <c r="L104" s="81"/>
      <c r="M104" s="81"/>
      <c r="N104" s="80">
        <f>+F104-J104</f>
        <v>433136.83999999997</v>
      </c>
    </row>
    <row r="105" spans="5:14" ht="15.75" thickBot="1" x14ac:dyDescent="0.3">
      <c r="N105" s="82"/>
    </row>
    <row r="106" spans="5:14" ht="15.75" thickBot="1" x14ac:dyDescent="0.3">
      <c r="F106" s="62">
        <v>44286</v>
      </c>
      <c r="J106" s="62">
        <v>43921</v>
      </c>
      <c r="N106" s="9" t="s">
        <v>3</v>
      </c>
    </row>
    <row r="107" spans="5:14" ht="15.75" thickBot="1" x14ac:dyDescent="0.3">
      <c r="E107" s="63" t="s">
        <v>88</v>
      </c>
      <c r="F107" s="67">
        <f>+F91-F86-F85-F84-F87-F88</f>
        <v>90361.26999999999</v>
      </c>
      <c r="G107" s="21"/>
      <c r="H107" s="90"/>
      <c r="I107" s="29"/>
      <c r="J107" s="85">
        <f>+J91-J87-J86-J85-J84-J88</f>
        <v>87904.760000000009</v>
      </c>
      <c r="K107" s="90"/>
      <c r="L107" s="90"/>
      <c r="M107" s="29"/>
      <c r="N107" s="86">
        <f>+F107-J107</f>
        <v>2456.5099999999802</v>
      </c>
    </row>
    <row r="108" spans="5:14" ht="15.75" thickBot="1" x14ac:dyDescent="0.3">
      <c r="E108" s="93" t="s">
        <v>89</v>
      </c>
      <c r="F108" s="85">
        <f>+F66-F59-F60-F58-F61-F17</f>
        <v>51564.240000000005</v>
      </c>
      <c r="G108" s="90"/>
      <c r="H108" s="90"/>
      <c r="I108" s="29"/>
      <c r="J108" s="85">
        <f>+J66-J59-J60-J58-J61-J17</f>
        <v>62571.169999999947</v>
      </c>
      <c r="K108" s="90"/>
      <c r="L108" s="90"/>
      <c r="M108" s="29"/>
      <c r="N108" s="86">
        <f>+F108-J108</f>
        <v>-11006.929999999942</v>
      </c>
    </row>
    <row r="109" spans="5:14" ht="15.75" thickBot="1" x14ac:dyDescent="0.3">
      <c r="E109" s="94" t="s">
        <v>90</v>
      </c>
      <c r="F109" s="105">
        <f>+F107-F108</f>
        <v>38797.029999999984</v>
      </c>
      <c r="G109" s="90"/>
      <c r="H109" s="90"/>
      <c r="I109" s="29"/>
      <c r="J109" s="80">
        <f>+J107-J108</f>
        <v>25333.590000000062</v>
      </c>
      <c r="K109" s="90"/>
      <c r="L109" s="90"/>
      <c r="M109" s="29"/>
      <c r="N109" s="80">
        <f>+F109-J109</f>
        <v>13463.439999999922</v>
      </c>
    </row>
    <row r="110" spans="5:14" x14ac:dyDescent="0.25">
      <c r="N110" s="82"/>
    </row>
    <row r="111" spans="5:14" x14ac:dyDescent="0.25">
      <c r="N111" s="82"/>
    </row>
    <row r="112" spans="5:14" x14ac:dyDescent="0.25">
      <c r="N112" s="82"/>
    </row>
    <row r="113" spans="14:14" x14ac:dyDescent="0.25">
      <c r="N113" s="82"/>
    </row>
    <row r="114" spans="14:14" x14ac:dyDescent="0.25">
      <c r="N114" s="82"/>
    </row>
    <row r="115" spans="14:14" x14ac:dyDescent="0.25">
      <c r="N115" s="82"/>
    </row>
    <row r="116" spans="14:14" x14ac:dyDescent="0.25">
      <c r="N116" s="82"/>
    </row>
    <row r="117" spans="14:14" x14ac:dyDescent="0.25">
      <c r="N117" s="82"/>
    </row>
    <row r="118" spans="14:14" x14ac:dyDescent="0.25">
      <c r="N118" s="82"/>
    </row>
    <row r="119" spans="14:14" x14ac:dyDescent="0.25">
      <c r="N119" s="82"/>
    </row>
    <row r="120" spans="14:14" x14ac:dyDescent="0.25">
      <c r="N120" s="82"/>
    </row>
    <row r="121" spans="14:14" x14ac:dyDescent="0.25">
      <c r="N121" s="82"/>
    </row>
    <row r="122" spans="14:14" x14ac:dyDescent="0.25">
      <c r="N122" s="82"/>
    </row>
    <row r="123" spans="14:14" x14ac:dyDescent="0.25">
      <c r="N123" s="82"/>
    </row>
    <row r="124" spans="14:14" x14ac:dyDescent="0.25">
      <c r="N124" s="82"/>
    </row>
    <row r="125" spans="14:14" x14ac:dyDescent="0.25">
      <c r="N125" s="82"/>
    </row>
    <row r="126" spans="14:14" x14ac:dyDescent="0.25">
      <c r="N126" s="82"/>
    </row>
    <row r="127" spans="14:14" x14ac:dyDescent="0.25">
      <c r="N127" s="82"/>
    </row>
    <row r="128" spans="14:14" x14ac:dyDescent="0.25">
      <c r="N128" s="82"/>
    </row>
    <row r="129" spans="14:14" x14ac:dyDescent="0.25">
      <c r="N129" s="82"/>
    </row>
    <row r="130" spans="14:14" x14ac:dyDescent="0.25">
      <c r="N130" s="81"/>
    </row>
    <row r="131" spans="14:14" x14ac:dyDescent="0.25">
      <c r="N131" s="3"/>
    </row>
    <row r="132" spans="14:14" x14ac:dyDescent="0.25">
      <c r="N132" s="3"/>
    </row>
    <row r="133" spans="14:14" x14ac:dyDescent="0.25">
      <c r="N133" s="3"/>
    </row>
    <row r="134" spans="14:14" x14ac:dyDescent="0.25">
      <c r="N134" s="3"/>
    </row>
    <row r="135" spans="14:14" x14ac:dyDescent="0.25">
      <c r="N135" s="3"/>
    </row>
    <row r="136" spans="14:14" x14ac:dyDescent="0.25">
      <c r="N136" s="3"/>
    </row>
    <row r="137" spans="14:14" x14ac:dyDescent="0.25">
      <c r="N137" s="3"/>
    </row>
    <row r="138" spans="14:14" x14ac:dyDescent="0.25">
      <c r="N138" s="3"/>
    </row>
    <row r="139" spans="14:14" x14ac:dyDescent="0.25">
      <c r="N139" s="3"/>
    </row>
  </sheetData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coiirm acum mzo 21-20</vt:lpstr>
      <vt:lpstr>'coiirm acum mzo 21-20'!Área_de_impresión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Guillamón Palazón</dc:creator>
  <cp:lastModifiedBy>Victor Guillamón Palazón</cp:lastModifiedBy>
  <dcterms:created xsi:type="dcterms:W3CDTF">2020-04-14T22:45:29Z</dcterms:created>
  <dcterms:modified xsi:type="dcterms:W3CDTF">2021-04-15T10:52:17Z</dcterms:modified>
</cp:coreProperties>
</file>